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9690" windowHeight="6540" activeTab="0"/>
  </bookViews>
  <sheets>
    <sheet name="доходы" sheetId="1" r:id="rId1"/>
    <sheet name="расход" sheetId="2" r:id="rId2"/>
    <sheet name="ист фин" sheetId="3" r:id="rId3"/>
    <sheet name="вид" sheetId="4" r:id="rId4"/>
    <sheet name="статья" sheetId="5" state="hidden" r:id="rId5"/>
    <sheet name="целевая " sheetId="6" r:id="rId6"/>
    <sheet name="0100" sheetId="7" r:id="rId7"/>
    <sheet name="0200" sheetId="8" r:id="rId8"/>
    <sheet name="0300" sheetId="9" r:id="rId9"/>
    <sheet name="0400" sheetId="10" r:id="rId10"/>
    <sheet name="0500" sheetId="11" r:id="rId11"/>
    <sheet name="0800 бюдж" sheetId="12" r:id="rId12"/>
    <sheet name="0800 пред" sheetId="13" r:id="rId13"/>
    <sheet name="0800 свод" sheetId="14" r:id="rId14"/>
    <sheet name="1105" sheetId="15" r:id="rId15"/>
    <sheet name="свод бюджет" sheetId="16" state="hidden" r:id="rId16"/>
    <sheet name="свод предпрен" sheetId="17" state="hidden" r:id="rId17"/>
    <sheet name="свод общий" sheetId="18" state="hidden" r:id="rId18"/>
    <sheet name="Лист3" sheetId="19" state="hidden" r:id="rId19"/>
    <sheet name="1000" sheetId="20" r:id="rId20"/>
    <sheet name="ведомственная" sheetId="21" r:id="rId21"/>
    <sheet name="№ 20" sheetId="22" state="hidden" r:id="rId22"/>
    <sheet name="1301" sheetId="23" r:id="rId23"/>
    <sheet name="Лист1" sheetId="24" r:id="rId24"/>
  </sheets>
  <externalReferences>
    <externalReference r:id="rId27"/>
  </externalReferences>
  <definedNames>
    <definedName name="_xlnm.Print_Titles" localSheetId="10">'0500'!$8:$9</definedName>
    <definedName name="_xlnm.Print_Titles" localSheetId="0">'доходы'!$10:$10</definedName>
    <definedName name="_xlnm.Print_Titles" localSheetId="2">'ист фин'!$10:$10</definedName>
    <definedName name="_xlnm.Print_Titles" localSheetId="1">'расход'!$10:$11</definedName>
    <definedName name="_xlnm.Print_Titles" localSheetId="15">'свод бюджет'!$10:$11</definedName>
    <definedName name="_xlnm.Print_Titles" localSheetId="17">'свод общий'!$10:$11</definedName>
    <definedName name="_xlnm.Print_Titles" localSheetId="5">'целевая '!$9:$9</definedName>
    <definedName name="_xlnm.Print_Area" localSheetId="6">'0100'!$A$1:$W$33</definedName>
    <definedName name="_xlnm.Print_Area" localSheetId="10">'0500'!$A$1:$X$71</definedName>
    <definedName name="_xlnm.Print_Area" localSheetId="12">'0800 пред'!$A$1:$U$27</definedName>
    <definedName name="_xlnm.Print_Area" localSheetId="19">'1000'!$A$1:$T$24</definedName>
    <definedName name="_xlnm.Print_Area" localSheetId="3">'вид'!$A$1:$E$32</definedName>
    <definedName name="_xlnm.Print_Area" localSheetId="0">'доходы'!$A$1:$V$125</definedName>
    <definedName name="_xlnm.Print_Area" localSheetId="2">'ист фин'!$A$1:$E$75</definedName>
    <definedName name="_xlnm.Print_Area" localSheetId="1">'расход'!$A$1:$K$65</definedName>
    <definedName name="_xlnm.Print_Area" localSheetId="15">'свод бюджет'!$A$6:$Z$142</definedName>
    <definedName name="_xlnm.Print_Area" localSheetId="17">'свод общий'!$A$1:$X$111</definedName>
  </definedNames>
  <calcPr fullCalcOnLoad="1" refMode="R1C1"/>
</workbook>
</file>

<file path=xl/sharedStrings.xml><?xml version="1.0" encoding="utf-8"?>
<sst xmlns="http://schemas.openxmlformats.org/spreadsheetml/2006/main" count="4387" uniqueCount="1285">
  <si>
    <t>Разработка документов территориального планирования ( остаток 2008г.)</t>
  </si>
  <si>
    <t>р. 0412-340 03 00-006</t>
  </si>
  <si>
    <t>Обеспечение мероприятий по капитальному ремонту многоквартирных домов за счет средств поступивших от государственной карпарации фонд содействия реформированию хилищно-коммунального хозяйства</t>
  </si>
  <si>
    <t>Перерселение граждан с разъезда Молодость (остатки 2008г.)</t>
  </si>
  <si>
    <t>ИТОГО р 0503-600 03 01-500</t>
  </si>
  <si>
    <t>3.2.1.</t>
  </si>
  <si>
    <t>3.2.2.</t>
  </si>
  <si>
    <t>IV</t>
  </si>
  <si>
    <t>4.1.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</si>
  <si>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</si>
  <si>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</si>
  <si>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</si>
  <si>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</si>
  <si>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</si>
  <si>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</si>
  <si>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</si>
  <si>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</si>
  <si>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</si>
  <si>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</si>
  <si>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</si>
  <si>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</si>
  <si>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</si>
  <si>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</si>
  <si>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</si>
  <si>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</si>
  <si>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</si>
  <si>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</si>
  <si>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</si>
  <si>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</si>
  <si>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тыс. рублей</t>
  </si>
  <si>
    <t>Наименование показателя</t>
  </si>
  <si>
    <t>Код вида расходов</t>
  </si>
  <si>
    <t>Бюджетные расходы</t>
  </si>
  <si>
    <t>005</t>
  </si>
  <si>
    <t>006</t>
  </si>
  <si>
    <t>Глава законодательной (представительной) власти местного самоуправления</t>
  </si>
  <si>
    <t>026</t>
  </si>
  <si>
    <t>Руководитель контрольно-счетной палаты муниципального образования и его заместители</t>
  </si>
  <si>
    <t>083</t>
  </si>
  <si>
    <t>Процентные платежи по муниципальному долгу</t>
  </si>
  <si>
    <t>152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</si>
  <si>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</si>
  <si>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</si>
  <si>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май</t>
  </si>
  <si>
    <t>июнь</t>
  </si>
  <si>
    <t>р.1001- 491 01 00- 005</t>
  </si>
  <si>
    <t>ИТОГО р.1001</t>
  </si>
  <si>
    <t>ВСЕГО р.1000</t>
  </si>
  <si>
    <t>Пенсии, пособия  выплачиваемые  организациями  сектора  государственного  управления</t>
  </si>
  <si>
    <t>Расходы, связанные с выполнением других обязательств государства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</si>
  <si>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</si>
  <si>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</si>
  <si>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</si>
  <si>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</si>
  <si>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Резервные фонды</t>
  </si>
  <si>
    <t>Дорожное  хозяйство</t>
  </si>
  <si>
    <t>Благоустройство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</si>
  <si>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</si>
  <si>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</si>
  <si>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Первичные меры безопасности</t>
  </si>
  <si>
    <t>254</t>
  </si>
  <si>
    <t>Обеспечение деятельности подведомственных учреждений</t>
  </si>
  <si>
    <t xml:space="preserve">бюджет </t>
  </si>
  <si>
    <t>1кварт</t>
  </si>
  <si>
    <t>2кварт</t>
  </si>
  <si>
    <t>3кварт</t>
  </si>
  <si>
    <t>4 кварт</t>
  </si>
  <si>
    <t xml:space="preserve">текущий ремонт водяных сетей </t>
  </si>
  <si>
    <t>Подготовка к зиме кательных МП "Баскунчакжилкомхоз"</t>
  </si>
  <si>
    <t xml:space="preserve">Изготовление правил землепользования и застройки территорий </t>
  </si>
  <si>
    <t>Осуществление первичного воинского учета</t>
  </si>
  <si>
    <t>Уличное освещение</t>
  </si>
  <si>
    <t>тыс.рублей</t>
  </si>
  <si>
    <t>Код экономической классификации расходов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</si>
  <si>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</si>
  <si>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</si>
  <si>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</si>
  <si>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</si>
  <si>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</si>
  <si>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</si>
  <si>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</si>
  <si>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Обслуживание долговых обязательств</t>
  </si>
  <si>
    <t>Обслуживание внутренних долговых обязательств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</si>
  <si>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</si>
  <si>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</si>
  <si>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социальному страхованию населения</t>
  </si>
  <si>
    <t>Пособия по социальному помощи населению</t>
  </si>
  <si>
    <t>Социальные пособия, выплачиваемые организациям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</si>
  <si>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</si>
  <si>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</si>
  <si>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</si>
  <si>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</si>
  <si>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Увеличение задолженности по бюджетным ссудам и кредитам</t>
  </si>
  <si>
    <t>Уменьшение задолженности по бюджетным ссудам и кредитам</t>
  </si>
  <si>
    <t>Приложение № 6</t>
  </si>
  <si>
    <t>Код целевой статьи расходов</t>
  </si>
  <si>
    <t>Прикладные научные исследования и разработки</t>
  </si>
  <si>
    <t>081 00 00</t>
  </si>
  <si>
    <t>Реализация государственной политики в области приватизации и управления  государтвенной и муниципальной собственностью</t>
  </si>
  <si>
    <t>090 00 00</t>
  </si>
  <si>
    <t>Реализация государственных функций, связанных с общегосударственным управлением</t>
  </si>
  <si>
    <t>092 00 00</t>
  </si>
  <si>
    <t>Воинские формирования (органы,подразделения)</t>
  </si>
  <si>
    <t>Морской и речной транспорт</t>
  </si>
  <si>
    <t>Поддержка жилищного хозяйства</t>
  </si>
  <si>
    <t>Реализация государственных функций в области охраны окружающей среды</t>
  </si>
  <si>
    <t>Установка  пожарных  гидрантов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</si>
  <si>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</si>
  <si>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</si>
  <si>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</si>
  <si>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Учебные заведения и курсы по переподготовке кадров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</si>
  <si>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</si>
  <si>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</si>
  <si>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Мероприятия в области строительства, архитектуры и градостроительства</t>
  </si>
  <si>
    <t>Музеи и постоянные выставки</t>
  </si>
  <si>
    <t>Библиотеки</t>
  </si>
  <si>
    <t>Мероприятия в сфере культуры, кинематографии и средств массовой информации</t>
  </si>
  <si>
    <t>Учебно-методические кабинеты, центральные бухгалтерии, группы хозяйственного обслуживания, учебные фильмотеки</t>
  </si>
  <si>
    <t>Телерадиокомпании</t>
  </si>
  <si>
    <t>Пенсионное  обеспечение</t>
  </si>
  <si>
    <t>Периодические издания, учрежденные органами законодательной и исполнительной власти</t>
  </si>
  <si>
    <t>Больницы, клиники, госпитали, медико-санитарные части</t>
  </si>
  <si>
    <t>Пенсии</t>
  </si>
  <si>
    <t>Меры социальной поддержки граждан</t>
  </si>
  <si>
    <t>Реализация государственных функций в области социальной политики</t>
  </si>
  <si>
    <t>Фонд софинансирования социальных расходов</t>
  </si>
  <si>
    <t>Региональные целевые программы</t>
  </si>
  <si>
    <t>тыс.руб.</t>
  </si>
  <si>
    <t>оплата труда и начисления</t>
  </si>
  <si>
    <t xml:space="preserve"> зар.плата</t>
  </si>
  <si>
    <t xml:space="preserve"> прочие выплаты</t>
  </si>
  <si>
    <t>приобретение услуг</t>
  </si>
  <si>
    <t>услуги связи</t>
  </si>
  <si>
    <t>трансп. расходы</t>
  </si>
  <si>
    <t xml:space="preserve"> коммун.   услуги</t>
  </si>
  <si>
    <t>арендная плата</t>
  </si>
  <si>
    <t>услуги по содерж. имущества</t>
  </si>
  <si>
    <t>прочие услуги</t>
  </si>
  <si>
    <t>обслуживание долговых обяз-в</t>
  </si>
  <si>
    <t>пособия</t>
  </si>
  <si>
    <t xml:space="preserve"> прочие расходы</t>
  </si>
  <si>
    <t>поступление нефинансовых активов</t>
  </si>
  <si>
    <t>увелич. стоим.основных средств</t>
  </si>
  <si>
    <t>увелич.стоим.матер.запасов</t>
  </si>
  <si>
    <t>увеличение задол. по бюдж. кредитам.</t>
  </si>
  <si>
    <t>Итого        р. 0102</t>
  </si>
  <si>
    <t>ИТОГО р. 0100</t>
  </si>
  <si>
    <t>руб.</t>
  </si>
  <si>
    <t>оплата труда и начисление</t>
  </si>
  <si>
    <t>транспортные услуги</t>
  </si>
  <si>
    <t>коммунальные услуги</t>
  </si>
  <si>
    <t>услуги по содерж. имущ-ва</t>
  </si>
  <si>
    <t>безвозм. и безвозвр. перечисл. орг-циям</t>
  </si>
  <si>
    <t>безвозм. и безвозвр. перечисл. гос. орг-циям</t>
  </si>
  <si>
    <t>безвозм. и безвозвр. перечисл. негос. орг-циям</t>
  </si>
  <si>
    <t>социа льное обеспечение</t>
  </si>
  <si>
    <t>пособия по соц. помощи населению</t>
  </si>
  <si>
    <t>прочие расходы</t>
  </si>
  <si>
    <t>увелич-ние стоимости основ. средств</t>
  </si>
  <si>
    <t>увелич-ние стоимости материал. запасов</t>
  </si>
  <si>
    <t>Национальная оборона</t>
  </si>
  <si>
    <t>ВСЕГО по р. 0200</t>
  </si>
  <si>
    <t>Получатели средств</t>
  </si>
  <si>
    <t xml:space="preserve"> прочие выплаты (пайков.,санат-курортн. страхов.)</t>
  </si>
  <si>
    <t xml:space="preserve">Органы внутренних дел </t>
  </si>
  <si>
    <t>р.0409-315 02 01-003</t>
  </si>
  <si>
    <t>Вещевое обеспечение                                                          0302-202000-220</t>
  </si>
  <si>
    <t>Ахтубинский РОВД</t>
  </si>
  <si>
    <t>Продовольственное обеспечение                                      0302-202000-221</t>
  </si>
  <si>
    <t>Военный персонал и сотрудники правоохранительных органов,имеющие специальные звания                                                                                         0302-202000-239</t>
  </si>
  <si>
    <t>Гражданский персонал                                                                0302-2020000-240</t>
  </si>
  <si>
    <t>Январь</t>
  </si>
  <si>
    <t>Февраль</t>
  </si>
  <si>
    <t>Март</t>
  </si>
  <si>
    <t>Обеспечение фунционирования органов в сфере национальной безопасности и правоохранительной деятельности                                                                                            0302-2020000-253</t>
  </si>
  <si>
    <t>Пособия и компенсации военнослужащим,приравненным к ним лицам, а также уволенным из их числа                                                0302-2020000-472</t>
  </si>
  <si>
    <t>Итого р. 0302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</si>
  <si>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</si>
  <si>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</si>
  <si>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</si>
  <si>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</t>
  </si>
  <si>
    <t>Доплаты к пенсиям государственных служащих субъектов Российской Федерации и муниципальных служащих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</si>
  <si>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</si>
  <si>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Осуществление первичного воинского учета на территориях, где отсутствуют военные комиссариаты</t>
  </si>
  <si>
    <t>Глава  муниципального  образования</t>
  </si>
  <si>
    <t>Центральный  аппарат</t>
  </si>
  <si>
    <t>Резервные  фонды  местных  администраций</t>
  </si>
  <si>
    <t>002 03 00</t>
  </si>
  <si>
    <t>002 04 00</t>
  </si>
  <si>
    <t>Руководство и управление в сфере установленных функций                                                                                                     0309-0010000-005</t>
  </si>
  <si>
    <t>Предупреждение и ликвидация последствий Ч.С. и стихийных бедствий                                                            0309-2180000-260</t>
  </si>
  <si>
    <t>Ремонт кровли здания конторы Ахтубинского РПО</t>
  </si>
  <si>
    <t>Итого р. 0309</t>
  </si>
  <si>
    <t>ИТОГО Р. 0310</t>
  </si>
  <si>
    <t>ИТОГО Р.0300</t>
  </si>
  <si>
    <t>Ремонт дорог (областная программа)</t>
  </si>
  <si>
    <t>ВСЕГО по р. 4000</t>
  </si>
  <si>
    <t>начис-ния на опл. труда</t>
  </si>
  <si>
    <t>приобретение    услуг</t>
  </si>
  <si>
    <t>безвозм. и безвозвр. перечис-я орган-циям</t>
  </si>
  <si>
    <t>социальное обеспечение</t>
  </si>
  <si>
    <t>увеличение стоимости матер. запасов</t>
  </si>
  <si>
    <t>поступление финансовых активов</t>
  </si>
  <si>
    <t>выбытие финансовых активов</t>
  </si>
  <si>
    <t>р.0501-3500000-197</t>
  </si>
  <si>
    <t>Субвенция МП "Баскунчакжилкомхоз"</t>
  </si>
  <si>
    <t>Итого р.0502-3500000-197</t>
  </si>
  <si>
    <t>р. 0501-3500000-410</t>
  </si>
  <si>
    <t>Приобретение или модернизация квартиры  молоимущим гражданам</t>
  </si>
  <si>
    <t>ИТОГО по р. 0501</t>
  </si>
  <si>
    <t xml:space="preserve">Изготовление ПСД на ремонт моста  </t>
  </si>
  <si>
    <t>Компенсация выпадающих доходов МП "Баскунчакжилкомхоз"                            по теплоснабжению</t>
  </si>
  <si>
    <t>Оплата труда и начисления на выплаты по  оплате труда</t>
  </si>
  <si>
    <t>начисления на выплаты  по оплате труда</t>
  </si>
  <si>
    <t>Оплата  работ,  услуг</t>
  </si>
  <si>
    <t>Работы,  услуги   по  содержанию  имущества</t>
  </si>
  <si>
    <t>Прочие   работы,  услуги</t>
  </si>
  <si>
    <t>Безвозмездные  перечисления организациям</t>
  </si>
  <si>
    <t>Безвозмездные  перечисления государственным и муниципальным организациям</t>
  </si>
  <si>
    <t>Безвозмездные  перечисления организациям, за исключением государственных и муниципальных организаций</t>
  </si>
  <si>
    <t>Безвозмездные  перечисления бюджетам</t>
  </si>
  <si>
    <t>МП "Баскунчакжилклмхоз"</t>
  </si>
  <si>
    <t>ОАО "Бассоль" частный сектор</t>
  </si>
  <si>
    <t>Газификация района</t>
  </si>
  <si>
    <t xml:space="preserve">Аварийно-восстановительный ремонт на электротехнических объектах центральной части города </t>
  </si>
  <si>
    <t xml:space="preserve">ИТОГО по р. 0502 </t>
  </si>
  <si>
    <t>безвозм. и безвозвр.перчисления</t>
  </si>
  <si>
    <t>безвозм. перечисл. гос. организ.</t>
  </si>
  <si>
    <t>безвозм. перечисл. негос. организ.</t>
  </si>
  <si>
    <t>пособия по социальной помощи</t>
  </si>
  <si>
    <t>Безвозмездные поступления от других бюджетов бюджетной системы РФ.</t>
  </si>
  <si>
    <t>Дотации  на  выравнивание  уровня  бюджетной  обеспеченности</t>
  </si>
  <si>
    <t>Дотации бюджетам  поселений  на  выравнивание  уровня  бюджетной  обеспеченности</t>
  </si>
  <si>
    <t>Субвенции  бюджетам  субъектов  РФ  и  муниципальных  образований</t>
  </si>
  <si>
    <t>Субвенции  бюджетам  поселений  на  осуществление  первичного  воинского  учета  на  территориях,  где  отсутствуют  военные  комиссариаты</t>
  </si>
  <si>
    <t>ИТОГО</t>
  </si>
  <si>
    <t>МУК "Дом культуры"</t>
  </si>
  <si>
    <t>пособия по соц.помощи насел.</t>
  </si>
  <si>
    <t>увелич.стоимости материальных запасов</t>
  </si>
  <si>
    <t>р.0901- 470 00 00 - 327</t>
  </si>
  <si>
    <t xml:space="preserve">Другие вопросы в области здравоохранения и спорта </t>
  </si>
  <si>
    <t>Молочные смеси</t>
  </si>
  <si>
    <t>№</t>
  </si>
  <si>
    <t>п/п</t>
  </si>
  <si>
    <t>МО "Ахтубинский район"</t>
  </si>
  <si>
    <t>к Постановлению главы</t>
  </si>
  <si>
    <t>от ___________ №_____</t>
  </si>
  <si>
    <t xml:space="preserve"> Свод расходов по МО "Поселок Верхний Баскунчак" </t>
  </si>
  <si>
    <t>по бюджетным средствам</t>
  </si>
  <si>
    <t xml:space="preserve">Безвозмездные перечисления </t>
  </si>
  <si>
    <t>Безвозмездные перечисления предприят</t>
  </si>
  <si>
    <t>перечисления другим бюджетам</t>
  </si>
  <si>
    <t>Ремонт  дорог</t>
  </si>
  <si>
    <t>Ремонт  дорог областная программа</t>
  </si>
  <si>
    <t>Капитальный ремонт жил фонда МП "Баскунчакжилклмхоз"</t>
  </si>
  <si>
    <t>ВСЕГО по р. 0501</t>
  </si>
  <si>
    <t>ИТОГО р. 0801</t>
  </si>
  <si>
    <t xml:space="preserve">ВСЕГО </t>
  </si>
  <si>
    <t>013</t>
  </si>
  <si>
    <t>014</t>
  </si>
  <si>
    <t>001</t>
  </si>
  <si>
    <t>Выполнение  функций  бюджетными  учреждениями</t>
  </si>
  <si>
    <t>Социальные  выплаты</t>
  </si>
  <si>
    <t>Субсидии  юридическим  лицам</t>
  </si>
  <si>
    <t>Функционирование  органов  в  сфере  национальной  безопасности,  правоохранительной  деятельности  и  обороны</t>
  </si>
  <si>
    <t>Выполнение  функций  органами  местного  самоуправления</t>
  </si>
  <si>
    <t>по средствам от предпринимательской и иной приносящей доход деятельности</t>
  </si>
  <si>
    <t xml:space="preserve">по бюджетным средствам и средствам предпринимательской и иной приносящей доход деятельности </t>
  </si>
  <si>
    <t>Наименование</t>
  </si>
  <si>
    <t>коды</t>
  </si>
  <si>
    <t>000 1 00 00000 00 0000 000</t>
  </si>
  <si>
    <t xml:space="preserve"> Налоги на прибыль,  доходы</t>
  </si>
  <si>
    <t>000 1 01 00000 00 0000 000</t>
  </si>
  <si>
    <t>Налог на доходы с физических лиц</t>
  </si>
  <si>
    <t>000 1 01 02000 01 0000 110</t>
  </si>
  <si>
    <t>Н-г на доходы с физических лиц с доходов, за иск доходов получ в виде дивидентов</t>
  </si>
  <si>
    <t>Н-г на доходы с физических лиц с доходов, получ физ лиц, не являющимися налог  резидент РФ</t>
  </si>
  <si>
    <t xml:space="preserve">Н-г на доходы физических лиц с доходов,  получен  в виде выигрышей и призов </t>
  </si>
  <si>
    <t xml:space="preserve">Н-г на доходы физических лиц с доходов,  получен физ лицами вкачест индв предпринимателя </t>
  </si>
  <si>
    <t xml:space="preserve"> Налоги 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</si>
  <si>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</si>
  <si>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</si>
  <si>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</si>
  <si>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</si>
  <si>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 налог</t>
  </si>
  <si>
    <t>Государственная пошлина</t>
  </si>
  <si>
    <t>000 1 08 00000 00 0000 000</t>
  </si>
  <si>
    <t xml:space="preserve"> Госпошлина по делам, рассматриваемым в судах общей юрисдикции, мир суд </t>
  </si>
  <si>
    <t>Госпошлина за совершение нотариальных действий (за искл м действий, совер  консул учр РФ)</t>
  </si>
  <si>
    <t>Госпошлина за государственную регистрацию, а также соверш проч юрид значимых действий</t>
  </si>
  <si>
    <t>000 1 08 07000 01 0000 110</t>
  </si>
  <si>
    <t>Задолж-сть по отмененным налогам, сборам и иным обязат платежам</t>
  </si>
  <si>
    <t>000 1 09 00000 00 0000 000</t>
  </si>
  <si>
    <t>Доходы от использив имущества, находящ в государств  и муниц собств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</si>
  <si>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</si>
  <si>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</si>
  <si>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</si>
  <si>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Доходы от продажи материальных и не материальных активов</t>
  </si>
  <si>
    <t>000 1 14 00000 00 0000 000</t>
  </si>
  <si>
    <t xml:space="preserve">  Штрафы, санкции, возмещение ущерба</t>
  </si>
  <si>
    <t>000 1 16 00000 00 0000 000</t>
  </si>
  <si>
    <t xml:space="preserve"> Денежные взыскания (штрафы) за нарушение закон о налогах и сборах, пред ст 116,117,118 и т.д.</t>
  </si>
  <si>
    <t xml:space="preserve"> Денежные взыскания (штрафы) за нарушение закон о примен ККМ</t>
  </si>
  <si>
    <t>Прочие неналоговые доходы</t>
  </si>
  <si>
    <t>000 1 17 00000 00 0000 000</t>
  </si>
  <si>
    <t>Безвозмездные поступления</t>
  </si>
  <si>
    <t>000 2 07 00000 00 0000 180</t>
  </si>
  <si>
    <t xml:space="preserve">Всего доходов </t>
  </si>
  <si>
    <t>ВЕРНО:</t>
  </si>
  <si>
    <t>Единый н-г, взимаемый с налогоплательщиков, выбравшихв кач-ве обьекта налогообложения доходы</t>
  </si>
  <si>
    <t>Налог,  взимаемый  с  налогоплательщиков,  выбравщих  в  качестве  объекта  налогообложения  доходы</t>
  </si>
  <si>
    <t>182 1 05 01010 01 0000 000</t>
  </si>
  <si>
    <t>Налог,  взимаемый  с  налогоплательщиков,  выбравщих  в  качестве  объекта  налогообложения  доходы,  уменьшенные  на  величину  расходов</t>
  </si>
  <si>
    <t>182 1 05 01020 01 0000 000</t>
  </si>
  <si>
    <t>Земельный  налог  ( по  обязательствам ,  возникшим  до  1  января  2006  года),  мобилизуемый  на  территории  поселений</t>
  </si>
  <si>
    <t>182 1 09 04050 10 0000 110</t>
  </si>
  <si>
    <t>Единый н-г, взимаемый с налог-ков, выбравшихв кач-ве обьекта налогообл доходы, умен на вел расходов</t>
  </si>
  <si>
    <t xml:space="preserve">Госпошлина за государственную регистрацию транспортных средств </t>
  </si>
  <si>
    <t>000 1 14 02033 03 0000 410</t>
  </si>
  <si>
    <t>Прочие неналоговые доходы бюджетов муниципальных районов</t>
  </si>
  <si>
    <t>000 1 11 05023 03 0000 120</t>
  </si>
  <si>
    <t>Инее межбюджетные трансферты ( отчисления от штрафов)</t>
  </si>
  <si>
    <t>Арендная плата за земли после разгранич госуд собст на земл и поступ от продажи пр на закл дог</t>
  </si>
  <si>
    <t>000 1 11 05020 00 0000 120</t>
  </si>
  <si>
    <t>Арендная плата за земли  и поступ от продажи пр на закл дог за земли, нах в муниц собст</t>
  </si>
  <si>
    <t xml:space="preserve">Арендная пл за земли и пост от прод права  на закл дог аренды за земли, нах в соб мун р-на </t>
  </si>
  <si>
    <t>Арендная пл за земли и пост от прод права  на закл дог аренды за земли, нах в соб посел</t>
  </si>
  <si>
    <t>Доходы от сдачи в аренду имущ ,находящегося в операт управ муниц районов</t>
  </si>
  <si>
    <t>Доходы  от реализации иного имущества, нах в  мун собственности(в части основ ср)</t>
  </si>
  <si>
    <t>Доходы  от реализации иного имущества, нах в собственности мун р-нов(в части основ ср)</t>
  </si>
  <si>
    <t>Доходы  от реализации иного имущества, нах в собственности посел(в части основ ср)</t>
  </si>
  <si>
    <t>Функционирование органов в сфере национальной безопасности и правоохранительной деятельности</t>
  </si>
  <si>
    <t xml:space="preserve">Доходная часть бюджета на 2011 год </t>
  </si>
  <si>
    <t>Реконструкция  котельных</t>
  </si>
  <si>
    <t>РАСХОДЫ  БЮДЖЕТА МО "ПОСЕЛОК ВЕРХНИЙ БАСКУНЧАК" НА 2011 ГОД ПО ЭКОНОМИЧЕСКИМ СТАТЬЯМ ФУНКЦИОНАЛЬНОЙ КЛАССИФИКАЦИИ РАСХОДОВ БЮДЖЕТОВ РОССИЙСКОЙ ФЕДЕРАЦИИ</t>
  </si>
  <si>
    <t xml:space="preserve">        МО "Поселок Верхний Баскунчак" НА 2011 год.</t>
  </si>
  <si>
    <t>на 2011 год</t>
  </si>
  <si>
    <t>Прочие доходы от оказания платных услуг ( доходы от оказания услуг, оказываемых учреждениями культуры)</t>
  </si>
  <si>
    <t>400 1 13 03050 10 0011 130</t>
  </si>
  <si>
    <t>400 1 13 03050 10 0012 130</t>
  </si>
  <si>
    <t>ПД</t>
  </si>
  <si>
    <t>на 2011год</t>
  </si>
  <si>
    <t>р.0502-390 01 00-500</t>
  </si>
  <si>
    <t>Итого р.0502-390 01 00-500</t>
  </si>
  <si>
    <t>400 2 02 02000 00 0000 151</t>
  </si>
  <si>
    <t>Кредиты кредитных организаций в валюте Российской Федерации</t>
  </si>
  <si>
    <t>400 01 02 00 00 00 0000 000</t>
  </si>
  <si>
    <t>Получение кредитов от кредитных организаций в валюте Российской Федерации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</si>
  <si>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</si>
  <si>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в валюте Российской Федерации бюджетами поселений</t>
  </si>
  <si>
    <t>400 01 02 00 00 10 0000 710</t>
  </si>
  <si>
    <t>Погашение  кредитов, представленных кредитными организациями в валюте Российской Федерации</t>
  </si>
  <si>
    <t>400 01 02 00 00 00 0000 800</t>
  </si>
  <si>
    <t>Погашение  кредитов, представленных кредитными организациями в валюте Российской Федерации бюджетами поселений</t>
  </si>
  <si>
    <t>400 01 02 00 00 10 0000 810</t>
  </si>
  <si>
    <r>
      <t xml:space="preserve">Бюджетные кредиты </t>
    </r>
    <r>
      <rPr>
        <b/>
        <sz val="14"/>
        <rFont val="Times New Roman"/>
        <family val="1"/>
      </rPr>
      <t xml:space="preserve"> от других бюджетов бюджетной системы Российской Федерации</t>
    </r>
  </si>
  <si>
    <t xml:space="preserve">Получение  бюджетных кредитов от других бюджетов бюджетной системы Российской Федерации в валюте Российской Федерации </t>
  </si>
  <si>
    <t>400 01 03 00 00 00 0000 700</t>
  </si>
  <si>
    <t>Получение бюджетных кредитов от других бюджетов бюджетной системы Российской Федерации в валюте Российской Федерации бюджетами муниципальных районов</t>
  </si>
  <si>
    <t xml:space="preserve">Погашение  бюджетных кредитов, полученных от других бюджетов бюджетной системы Российской Федерации в валюте Российской Федерации </t>
  </si>
  <si>
    <t>Погашение  бюджетных кредитов, полученных от других бюджетов бюджетной системы Российской Федерации в валюте Российской Федерации бюджетами поселений</t>
  </si>
  <si>
    <t>Изменение остатков средств на счетах по учету средств бюджета</t>
  </si>
  <si>
    <t>Увеличение  остатков средств бюджетов</t>
  </si>
  <si>
    <t>400 01 05 00 00 00 0000 500</t>
  </si>
  <si>
    <t>Увеличение   прочих остатков средств бюджетов</t>
  </si>
  <si>
    <t>400 01 05 02 00 00 0000 500</t>
  </si>
  <si>
    <t>400 01 05 02 01 00 0000 510</t>
  </si>
  <si>
    <t>Увеличение   прочих остатков средств бюджета поселения</t>
  </si>
  <si>
    <t>Уменьшение  остатков средств бюджетов</t>
  </si>
  <si>
    <t>400 01 05 00 00 00 0000 600</t>
  </si>
  <si>
    <t>Уменьшение   прочих остатков средств бюджетов</t>
  </si>
  <si>
    <t>400 01 05 02 00 00 0000 600</t>
  </si>
  <si>
    <t>400 01 05 02 01 00 0000 610</t>
  </si>
  <si>
    <t>Уменьшение   прочих остатков средств бюджетов поселений</t>
  </si>
  <si>
    <t>Налог на имущество, переходящего в порядке  наследование или дарение</t>
  </si>
  <si>
    <t>400 01 05 00 00 00 0000 000</t>
  </si>
  <si>
    <t>400 01 05 02 01 10 0000 610</t>
  </si>
  <si>
    <t>р.1104-521 06 00-017</t>
  </si>
  <si>
    <t>521 06 00</t>
  </si>
  <si>
    <t>315 00 00</t>
  </si>
  <si>
    <t>315 02 01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</si>
  <si>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</si>
  <si>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Бюджетные  инвестиции</t>
  </si>
  <si>
    <t>003</t>
  </si>
  <si>
    <t>Иные  межбюджетные  трансферты</t>
  </si>
  <si>
    <t>017</t>
  </si>
  <si>
    <t>220 1 11 05025 05 0000 120</t>
  </si>
  <si>
    <t>400 1 11 05025 10 0000 120</t>
  </si>
  <si>
    <t>220 1 11 05035 05 0000 120</t>
  </si>
  <si>
    <t>400 1 11 05035 10 0000 120</t>
  </si>
  <si>
    <t>182 1 12 01000 01 0000 120</t>
  </si>
  <si>
    <t>220 1 14 02033 05 0000 410</t>
  </si>
  <si>
    <t>400 1 14 02033 10 0000 410</t>
  </si>
  <si>
    <t>182 1 16 03010 01 0000 140</t>
  </si>
  <si>
    <t>182 1 16 06000 01 0000 140</t>
  </si>
  <si>
    <t>141 1 16 28000 01 0000 140</t>
  </si>
  <si>
    <t>Денежн взысканий(штрафы) за администрат правонар в области дорож движения</t>
  </si>
  <si>
    <t>Денежн взысканий(штрафы) за наруш законодательства в сфере защиты прав потребителей</t>
  </si>
  <si>
    <t>Прочие поступ от ден взыска(штрафов) и иных сумм в возмещ ущерб, зач в бюд мун районов</t>
  </si>
  <si>
    <t>300 1 16 90050 05 0000 140</t>
  </si>
  <si>
    <t>188 1 16 30000 01 0000 140</t>
  </si>
  <si>
    <t>182 1 01 02010 01 0000 110</t>
  </si>
  <si>
    <t>182 1 01 02020 01 0000 110</t>
  </si>
  <si>
    <t>182 1 01 02021 01 0000 110</t>
  </si>
  <si>
    <t>182 1 01 02022 01 0000 110</t>
  </si>
  <si>
    <t>182 1 01 02030 01 0000 110</t>
  </si>
  <si>
    <t>182 1 01 02040 01 0000 110</t>
  </si>
  <si>
    <t>182 1 01 02050 01 0000 110</t>
  </si>
  <si>
    <t>182 1 05 01010 01 0000 110</t>
  </si>
  <si>
    <t>182 1 05 01020 01 0000 110</t>
  </si>
  <si>
    <t>182 1 05 02000 02 0000 110</t>
  </si>
  <si>
    <t xml:space="preserve"> 182 1 05 03000 01 0000 110 </t>
  </si>
  <si>
    <t>182 1 06 01000 03 0000 110</t>
  </si>
  <si>
    <t>182 1 06 01030 10 0000 110</t>
  </si>
  <si>
    <t>182 1 06 06000 00 0000 110</t>
  </si>
  <si>
    <t>437 1 08 03010 01 0000 110</t>
  </si>
  <si>
    <t>318 1 08 04000 01 0000 110</t>
  </si>
  <si>
    <t>188 1 08 07140 01 0000 110</t>
  </si>
  <si>
    <t>182 1 09 04040 01 0000 110</t>
  </si>
  <si>
    <t>300 1 17 05050 05 0000 180</t>
  </si>
  <si>
    <t>Прочие местные налоги и сборы</t>
  </si>
  <si>
    <t>182 1 09 07050 03 0000 110</t>
  </si>
  <si>
    <t>Средства федерального бюджета</t>
  </si>
  <si>
    <t xml:space="preserve">МО " Поселок Верхний Баскунчак"" </t>
  </si>
  <si>
    <t>1 квартал</t>
  </si>
  <si>
    <t>2 квартал</t>
  </si>
  <si>
    <t>3 квартал</t>
  </si>
  <si>
    <t>4 квартал</t>
  </si>
  <si>
    <t>000 1 13 00000 00 0000 000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</si>
  <si>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</si>
  <si>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</si>
  <si>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Руководство и управление в сфере установленных функций</t>
  </si>
  <si>
    <t xml:space="preserve">Поддержка коммунального хозяйства </t>
  </si>
  <si>
    <t>МО "Поселок Верхний Баскунчак"</t>
  </si>
  <si>
    <t>к решению Совета</t>
  </si>
  <si>
    <t>Налог  на  доходы  физических  лиц  с  доходов,  облагаемых  по  налоговой  ставке,  установленной  пунктом  1  ст.  224  НК  РФ</t>
  </si>
  <si>
    <t>Налог  на  доходы  физических  лиц  с  доходов,  облагаемых  по  налоговой  ставке,  установленной  п.  1  ст.  224  НК  РФ,  за  исключением  доходов,  полученных  физическими  лицами,  зарегистрированными  в  качестве  индивидуальных  предпринимателей,  частных  натариусов  и  других  лиц,  занимающихся  частоной  практикой</t>
  </si>
  <si>
    <t>400 01 00 00 00 00 0000 000</t>
  </si>
  <si>
    <t>400 01 02 00 00 00 0000 700</t>
  </si>
  <si>
    <t>Налог  на  доходы  физических  лиц  с  доходов,  облагаемых  по  налоговой  ставке,  установленной  п.  1  ст.  224  НК  РФ,    и  полученных  физическими  лицами,  зарегистрированными  в  качестве  индивидуальных  предпринимателей,  частных  натариусов  и  других  лиц,  занимающихся  частоной  практикой</t>
  </si>
  <si>
    <t xml:space="preserve">Единый налог, взимаемый в связи с применением упрощенной   системы  налогообложения </t>
  </si>
  <si>
    <t>182 1 05 00000 00 0000 000</t>
  </si>
  <si>
    <t>182 1 05 01000 00 0000 110</t>
  </si>
  <si>
    <t>182 1 06 00000 00 0000 000</t>
  </si>
  <si>
    <t>р.0102-00203 00-500</t>
  </si>
  <si>
    <t>р.0112-07005 00-013</t>
  </si>
  <si>
    <t>Итого  р.0112</t>
  </si>
  <si>
    <t>р.0114-002 04 00-500</t>
  </si>
  <si>
    <t>Итого  р.0114</t>
  </si>
  <si>
    <t>р. 0203-001 36 00-500</t>
  </si>
  <si>
    <t>ВСЕГО по р. 0203</t>
  </si>
  <si>
    <t>ВСЕГО по р. 0409</t>
  </si>
  <si>
    <t>р.0412-338 00 00-500</t>
  </si>
  <si>
    <t>ВСЕГО по р. 0412</t>
  </si>
  <si>
    <t>р.0502-351 02 00-006</t>
  </si>
  <si>
    <t>ИТОГО р.0502-351 02 00-006</t>
  </si>
  <si>
    <t>р.0502-351 05 00-500</t>
  </si>
  <si>
    <t>Итого р.0502-351 05 00-500</t>
  </si>
  <si>
    <t>р.0503-600 05 00-500</t>
  </si>
  <si>
    <t>ИТОГО р.0503-600 05 00-500</t>
  </si>
  <si>
    <t>р.0503-600 01 00-500</t>
  </si>
  <si>
    <t>ИТОГО р.0503-600 01 00-500</t>
  </si>
  <si>
    <t>ВСЕГО по р. 0503</t>
  </si>
  <si>
    <t>ИТОГО  по  р. 0502</t>
  </si>
  <si>
    <t>р.0801-440 99 00-001</t>
  </si>
  <si>
    <t>ИТОГО р.0908</t>
  </si>
  <si>
    <t>р.10 01-491 01 00-005</t>
  </si>
  <si>
    <t>р.0102-002 03 00-500</t>
  </si>
  <si>
    <t>р.0203</t>
  </si>
  <si>
    <t>р.0409</t>
  </si>
  <si>
    <t>р.0412</t>
  </si>
  <si>
    <t>Налог на имущество физических лиц, взимаемый  по  ставкам  применяемым  к  объектам  налогообложения  расположенным  в  границах  поселения</t>
  </si>
  <si>
    <t>Бюджет</t>
  </si>
  <si>
    <t>ИТОГО р.0309</t>
  </si>
  <si>
    <t>Межбюджетные  трасферты  бюджетам  муниципальных  районов  из  бюджетов  поселений    по решению вопросов местного значения в соответствии с заключенными соглашениями</t>
  </si>
  <si>
    <t>Мероприятия в области спорта и физической культуры</t>
  </si>
  <si>
    <t>Увеличение стоимости нематериальных активов</t>
  </si>
  <si>
    <t>Модернизация системы канализации</t>
  </si>
  <si>
    <t>Глава МО</t>
  </si>
  <si>
    <t>контроль</t>
  </si>
  <si>
    <t>р. 0302-202 67 00-014</t>
  </si>
  <si>
    <t>182 1 06 04000 02 0000 110</t>
  </si>
  <si>
    <t>Транспортный налог</t>
  </si>
  <si>
    <t>Транспортный налог с организаций</t>
  </si>
  <si>
    <t>182 1 06 04011 02 0000 110</t>
  </si>
  <si>
    <t>Транспортный налог с физических лиц</t>
  </si>
  <si>
    <t>182 1 06 04012 02 0000110</t>
  </si>
  <si>
    <t>Государственная 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</si>
  <si>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400 1 08 04020 01 1000 110</t>
  </si>
  <si>
    <t>182 1 08 00000 00 0000 000</t>
  </si>
  <si>
    <t>Доходы от предпринимательской и иной приносящей доход деятельности</t>
  </si>
  <si>
    <t>400 3 00 00000 00 0000 000</t>
  </si>
  <si>
    <t>Доходы от продажи услуг, оказываемые учреждениями, находящимися в ведении органов местного самоуправления</t>
  </si>
  <si>
    <t>апрель</t>
  </si>
  <si>
    <t>Установка  дорожных  знаков и содержание поселковых дорог</t>
  </si>
  <si>
    <t>Озеленение поселковых парков</t>
  </si>
  <si>
    <t>Изготовление проектно-сметной документации по реконструкции тепловых сетей Котельной № 3, Квартальной котельной</t>
  </si>
  <si>
    <t>Установка указателей улиц</t>
  </si>
  <si>
    <t>Благоустройство поселка приобретение мусорных контейнеров</t>
  </si>
  <si>
    <t>расход</t>
  </si>
  <si>
    <t>Б+ПД</t>
  </si>
  <si>
    <t>Инвентаризация объектов коммунально-бытового назначения</t>
  </si>
  <si>
    <t>Администрация</t>
  </si>
  <si>
    <t>Благоустройство поселка и работа по договору с биржей труда</t>
  </si>
  <si>
    <t>400 01 03 00 00 00 0000 000</t>
  </si>
  <si>
    <t>400 01 03 00 00 10 0000 710</t>
  </si>
  <si>
    <t>400 01 03 00 00 00 0000 800</t>
  </si>
  <si>
    <t>400 01 03 00 00 10 0000 810</t>
  </si>
  <si>
    <t>400 01 05 02 01 10 0000 510</t>
  </si>
  <si>
    <t>Приложение № 13</t>
  </si>
  <si>
    <t>р.0801-440 99 02-001</t>
  </si>
  <si>
    <t>Обеспечение деятельности учреждений из областного бюджета</t>
  </si>
  <si>
    <t>Приложение № 14</t>
  </si>
  <si>
    <t>р.0801-440 99 00-910</t>
  </si>
  <si>
    <t>р. 0801-440 99 02-001</t>
  </si>
  <si>
    <t>Обеспечение деятельности учреждений за счет субсидий из областного бюджета</t>
  </si>
  <si>
    <t>р. 0801-440 99 00-910</t>
  </si>
  <si>
    <t>р. 0503-600 03 00-500</t>
  </si>
  <si>
    <t>ИТОГО р1104</t>
  </si>
  <si>
    <t>910</t>
  </si>
  <si>
    <t>600 03 00</t>
  </si>
  <si>
    <t>к проекту решения Совета</t>
  </si>
  <si>
    <r>
      <t xml:space="preserve">Доходы, получаемые  в  виде  арендной  платы  за  земельные  участки,  государственная  собственность  на  которые  </t>
    </r>
    <r>
      <rPr>
        <b/>
        <sz val="14"/>
        <rFont val="Times New Roman"/>
        <family val="1"/>
      </rPr>
      <t>не  разграничена</t>
    </r>
    <r>
      <rPr>
        <sz val="14"/>
        <rFont val="Times New Roman"/>
        <family val="1"/>
      </rPr>
      <t>,  а  также  средства  от  продажи права  на  заключение  договоров  аренды  указанных  земельных  участков</t>
    </r>
  </si>
  <si>
    <r>
      <t xml:space="preserve">Доходы, получаемые  в  виде  арендной  платы  за  земельные  участки,  государственная  собственность  на  которые  </t>
    </r>
    <r>
      <rPr>
        <b/>
        <sz val="14"/>
        <rFont val="Times New Roman"/>
        <family val="1"/>
      </rPr>
      <t xml:space="preserve">не  разграничена  </t>
    </r>
    <r>
      <rPr>
        <sz val="14"/>
        <rFont val="Times New Roman"/>
        <family val="1"/>
      </rPr>
      <t>и  которые  расположены  в  границах  поселений,  а  также  средства  от  продажи права  на  заключение  договоров  аренды  указанных  земельных  участков</t>
    </r>
  </si>
  <si>
    <r>
      <t xml:space="preserve">Доходы  получаемые  в  виде  арендной  платы  за  земли  </t>
    </r>
    <r>
      <rPr>
        <b/>
        <sz val="14"/>
        <rFont val="Times New Roman"/>
        <family val="1"/>
      </rPr>
      <t>после  разграничения</t>
    </r>
    <r>
      <rPr>
        <sz val="14"/>
        <rFont val="Times New Roman"/>
        <family val="1"/>
      </rPr>
      <t xml:space="preserve">  государственной  собственности  за  землю,  а  также  средства  от  продажи  права  на  заключение  договоров  аренды  указанных  земельных  участков ( за  исключением  участков  автономных  учреждений, а  также  земельных  участков  государственных  и  муниципальных  унитарных  предприятий, в  том  числе  казенных)</t>
    </r>
  </si>
  <si>
    <t>Задолженность по платежам прошлых лет</t>
  </si>
  <si>
    <t>Субсидия бюджетам муниципальных образований на приведение в нормативное состояние улично-дорожной сети населенных пунктов для проезда транзитного транспорта и проезда к социально- экономически значимым объектам</t>
  </si>
  <si>
    <t>Субсидия на озеленение территории</t>
  </si>
  <si>
    <t>Налоговые и неналоговые доходы</t>
  </si>
  <si>
    <t>Капитальный ремонт многоквартирных домов</t>
  </si>
  <si>
    <t>р.0409-522 13 00-365</t>
  </si>
  <si>
    <t>р. 0503-521 01 08-500</t>
  </si>
  <si>
    <t>Озеленение территорий (областная программа)</t>
  </si>
  <si>
    <t>ИТОГО р. 0503-600 03 00-500</t>
  </si>
  <si>
    <t>ИТОГО по р. 0503</t>
  </si>
  <si>
    <t>365</t>
  </si>
  <si>
    <t>Отдельные мероприятия в области дорожного хозяйства</t>
  </si>
  <si>
    <t>098 01 01</t>
  </si>
  <si>
    <t>Озеленение территорий</t>
  </si>
  <si>
    <t>522 13 00</t>
  </si>
  <si>
    <t>ВСЕГО по р. 0500</t>
  </si>
  <si>
    <t>на 2009 год</t>
  </si>
  <si>
    <t>Субсидия  на  приобретение  топлива   на отопительный сезон 2009-2010 гг.</t>
  </si>
  <si>
    <t>Субсидии бюджетам субъектов РФ и муниципальных образований</t>
  </si>
  <si>
    <t>400 2 02 02089 10 0001 151</t>
  </si>
  <si>
    <t>Субсидия на обеспечение мероприятий по капитальному ремонту многоквартирных домов</t>
  </si>
  <si>
    <t xml:space="preserve">к решению Совета </t>
  </si>
  <si>
    <t>р. 0107-020 00 02-500</t>
  </si>
  <si>
    <t>Выборы представительного органа власти</t>
  </si>
  <si>
    <t>р. 0107-020 00 03-500</t>
  </si>
  <si>
    <t>Выборы главы МО</t>
  </si>
  <si>
    <t>Итого по р. 0107</t>
  </si>
  <si>
    <t>р. 0409-795 00 00-365</t>
  </si>
  <si>
    <t>Ремонт дорог целевая программа</t>
  </si>
  <si>
    <t>р.0501-098 01 01-006</t>
  </si>
  <si>
    <t xml:space="preserve">Изготовление проектно-сметной документации по реконструкции разводящих водяных сетей в поселке  </t>
  </si>
  <si>
    <t>р. 0502-351 06 02-006</t>
  </si>
  <si>
    <t>Субсидия на приобретение топлива на отопительный сезон 2009-2010 гг.</t>
  </si>
  <si>
    <t>Социальная помьщь населению</t>
  </si>
  <si>
    <t>р.0412-340 03 00-006</t>
  </si>
  <si>
    <t>340 03 00</t>
  </si>
  <si>
    <t>Переселение граждан</t>
  </si>
  <si>
    <t>522 38 00</t>
  </si>
  <si>
    <t>Итого р. 0502-351 06 02-006</t>
  </si>
  <si>
    <t>р. 0503-522 00 00-500</t>
  </si>
  <si>
    <t>ИТОГО р 0503-522 00 00-500</t>
  </si>
  <si>
    <t>Обеспечение  национальной  безопасности  и правоохранительной  деятельности финансирование ПОМ пос. Верхний Баскунчак</t>
  </si>
  <si>
    <t>Предупреждение и ликвидация Ч.С. И стихийных бедствий</t>
  </si>
  <si>
    <t>ИТОГО р.0501-098 01 01-006</t>
  </si>
  <si>
    <t>Подготовка  котельных к отопительному сезону</t>
  </si>
  <si>
    <t>р. 0503-600 01 00-006</t>
  </si>
  <si>
    <t>Ремонт уличного освещения</t>
  </si>
  <si>
    <t>ИТОГО р 0503-600 01 00-006</t>
  </si>
  <si>
    <t>Содержание и озеленение поселковых парков</t>
  </si>
  <si>
    <t>Пенсии, пособия выплачиваемые организациями сектора государственного управления</t>
  </si>
  <si>
    <t>Мобилизационная и вневоинская подготовка</t>
  </si>
  <si>
    <t>Областные средства на приобретение топлива</t>
  </si>
  <si>
    <t>Целевые программы муниципальных образований</t>
  </si>
  <si>
    <t xml:space="preserve">795 00 00 </t>
  </si>
  <si>
    <t>р. 0309-218 01 00-500</t>
  </si>
  <si>
    <t>Приложение № 7</t>
  </si>
  <si>
    <t>Приложение № 9</t>
  </si>
  <si>
    <t>Приложение № 10</t>
  </si>
  <si>
    <t xml:space="preserve"> БЮДЖЕТ ПО РАЗДЕЛУ "НАЦИОНАЛЬНАЯ БЕЗОПАСНОСТЬ  И ПРАВООХРАНИТЕЛЬНАЯ ДЕЯТЕЛЬНОСТЬ"</t>
  </si>
  <si>
    <t>Приложение № 11</t>
  </si>
  <si>
    <t>Итого р. 0503-600 01 00-006</t>
  </si>
  <si>
    <t>Приложение № 12</t>
  </si>
  <si>
    <t>Приложение № 15</t>
  </si>
  <si>
    <t>Приложение № 16</t>
  </si>
  <si>
    <t>Приложение № 17</t>
  </si>
  <si>
    <t>р. 10 03-505 85 00-005</t>
  </si>
  <si>
    <t>Материальная помощь</t>
  </si>
  <si>
    <t>ИТОГО по р. 10 03</t>
  </si>
  <si>
    <t>0412-522 32 00-500</t>
  </si>
  <si>
    <t>Разработка документов территориального планирования</t>
  </si>
  <si>
    <t>р. 0501-522 38 00-003</t>
  </si>
  <si>
    <t>Переселение граждан с разъезда Молодость (областные средства)</t>
  </si>
  <si>
    <t>Межбюджетные трансферы бюджетам муниципальных районов из бюджетов поселений по решению вопросов местного значения в соответствии с заключенными соглашениями</t>
  </si>
  <si>
    <t>р. 0412-522 32 00-500</t>
  </si>
  <si>
    <t>р.0501-522 38 00-003</t>
  </si>
  <si>
    <t>р.0501-098 02 01-006</t>
  </si>
  <si>
    <t>Обеспечение мероприятий по капитальному ремонту многоквартирных домов за счет средств бюджета</t>
  </si>
  <si>
    <t>р. 1003 505 85 00 -005</t>
  </si>
  <si>
    <t>Итого р. 1003</t>
  </si>
  <si>
    <t>Оказание материальной помощи населению</t>
  </si>
  <si>
    <t>505 85 00</t>
  </si>
  <si>
    <t>Земельный  налог,взимаемый по ставке   пп1 п1 ст 394 НК  РФ  и  применяемым  к  объектам  налогообложения,  расположенным  в  границах  поселений</t>
  </si>
  <si>
    <t>182 1 06 06013 10 0000 110</t>
  </si>
  <si>
    <t>Земельный  налог,взимаемый по ставке   пп2 п1 ст 394 НК  РФ  и  применяемым  к  объектам  налогообложения,  расположенным  в  границах  поселений</t>
  </si>
  <si>
    <t>182 1 06 06023 10 0000 110</t>
  </si>
  <si>
    <t>400 1 11 00000 00 0000 000</t>
  </si>
  <si>
    <t>400 1 11 05000 00 0000 120</t>
  </si>
  <si>
    <t>Доходы  получаемые  в  виде  арендной  либо  иной  платы  за  передачу  в  возмездное  пользование  государственного  и  муниципального  имущества  ( за  исключением  имущества  автаномных  учреждений, а  также  имущества  государственных  и  муниципальных  унитарных  предприятий,  в  том  числе  казенных)</t>
  </si>
  <si>
    <t>512 97 00</t>
  </si>
  <si>
    <t>ИТОГО  р. 0302</t>
  </si>
  <si>
    <t xml:space="preserve">Изготовление проектно-сметной документации по реконструкции разводящих водопроводных сетей в поселке и ремонт </t>
  </si>
  <si>
    <t>р.0908-512 97 00-500</t>
  </si>
  <si>
    <t>400 1 11 05010 00 0000 120</t>
  </si>
  <si>
    <t>400 1 11 05010 10 0000 120</t>
  </si>
  <si>
    <t>400 1 11 05020 00 0000 120</t>
  </si>
  <si>
    <t>Доходы  получаемые  в  виде  арендной  платы  ,  а  также  средства  от  продажи  права  на  заключение  договоров  аренды   за  земли ,  находящиеся  в  собственности  поселений ( за  исключением  земельных  участков  муниципальных  автономных  учреждений, а  также  земельных  участков    муниципальных  унитарных  предприятий, в  том  числе  казенных)</t>
  </si>
  <si>
    <t>Доходы  от  сдачи  в  аренду  имущества,  находящегося  в  оперативном  управлении  органов  государственной  власти,  органов  местного  самоуправления,  государственных  внебюджетных  фондов  и  созданных  ими  учреждений  ( за  исключением  имущества  муниципальных  автономных  учреждений)</t>
  </si>
  <si>
    <t>Доходы  от  сдачи  в  аренду  имущества,  находящегося  в  оперативном  управлении  органов  управления  поселений  и  созданных  ими  учреждений  ( за  исключением  имущества  муниципальных  автономных  учреждений)</t>
  </si>
  <si>
    <t>Прочие доходы от оказания платных услуг и компенсации затрат государства</t>
  </si>
  <si>
    <t>Прочие  доходы  от  оказания  платных  услуг  получателями  средств  бюджетов  поселений  и  компенсации  затрат  государства  бюджетов  поселений</t>
  </si>
  <si>
    <t>Прочие  неналоговые  доходы  бюджетов  поселений</t>
  </si>
  <si>
    <t>400 1 17 05050 10 0000 180</t>
  </si>
  <si>
    <t>Наименование разделов и подразделов</t>
  </si>
  <si>
    <t>Код раздела и подраздела</t>
  </si>
  <si>
    <t>Утвержденные  бюджетные расходы</t>
  </si>
  <si>
    <t>Увеличение</t>
  </si>
  <si>
    <t>Уменьшение</t>
  </si>
  <si>
    <t xml:space="preserve">Уточненные бюджетные расходы </t>
  </si>
  <si>
    <t>Расходы за счет средств от предпринимательской и иной приносящей доход деятельности</t>
  </si>
  <si>
    <t>Всего</t>
  </si>
  <si>
    <t>в том числе</t>
  </si>
  <si>
    <t>за счет субвенций  из бюджетов поселений</t>
  </si>
  <si>
    <t>за счет средств федерального бюджета</t>
  </si>
  <si>
    <t>ВСЕГО</t>
  </si>
  <si>
    <t>202 67 00</t>
  </si>
  <si>
    <t>351 02 00</t>
  </si>
  <si>
    <t>338 00 00</t>
  </si>
  <si>
    <t>070 05 00</t>
  </si>
  <si>
    <t>440 99 00</t>
  </si>
  <si>
    <t>491 01 00</t>
  </si>
  <si>
    <t>001 36 00</t>
  </si>
  <si>
    <t>600 01 00</t>
  </si>
  <si>
    <t>600 05 00</t>
  </si>
  <si>
    <t>Общегосударственные вопросы</t>
  </si>
  <si>
    <t>Функционирование представительных органов  местного самоуправления</t>
  </si>
  <si>
    <t>Обеспечение деятельности финансовых, налоговых  и таможенных органов и органов надзора</t>
  </si>
  <si>
    <t>0106</t>
  </si>
  <si>
    <t>Обслуживание муниципального долга</t>
  </si>
  <si>
    <t>Резервный фонд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</si>
  <si>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</si>
  <si>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</si>
  <si>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</si>
  <si>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противопожарной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</si>
  <si>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</si>
  <si>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</si>
  <si>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</si>
  <si>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</si>
  <si>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0501</t>
  </si>
  <si>
    <t>Коммунальное хозяйство</t>
  </si>
  <si>
    <t>ИТОГО р. 1001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</si>
  <si>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</si>
  <si>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</si>
  <si>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</si>
  <si>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</si>
  <si>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0701</t>
  </si>
  <si>
    <t>Общее образование</t>
  </si>
  <si>
    <t>Переподготовка и повышение квалификации</t>
  </si>
  <si>
    <t xml:space="preserve">Молодежная политика и оздоровление детей 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</si>
  <si>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</si>
  <si>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</si>
  <si>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</si>
  <si>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</si>
  <si>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</si>
  <si>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</si>
  <si>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</t>
  </si>
  <si>
    <t>Социальная политика</t>
  </si>
  <si>
    <t>Пенсионное обеспечение</t>
  </si>
  <si>
    <t>1001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</si>
  <si>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</si>
  <si>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</si>
  <si>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</si>
  <si>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</si>
  <si>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Верно:</t>
  </si>
  <si>
    <t xml:space="preserve">ИСТОЧНИКИ ВНУТРЕННЕГО ФИНАНСИРОВАНИЯ ДЕФИЦИТА СОБСТВЕННОГО БЮДЖЕТА </t>
  </si>
  <si>
    <t>№ п/п</t>
  </si>
  <si>
    <t>глава мо</t>
  </si>
  <si>
    <t>098 02 01</t>
  </si>
  <si>
    <t>Изготовление правил землепользования</t>
  </si>
  <si>
    <t>002 00 00</t>
  </si>
  <si>
    <t>522 00 00</t>
  </si>
  <si>
    <t>Наименование групп, подгрупп, статей, подстатей, элементов, программ  (подпрограмм), кодов экономической классификации источников внутреннего финансирования дефицитов бюджетов</t>
  </si>
  <si>
    <t xml:space="preserve">Код                                                       </t>
  </si>
  <si>
    <t>Сумма,                       тыс.руб.</t>
  </si>
  <si>
    <t xml:space="preserve">ВСЕГО ИСТОЧНИКИ ВНУТРЕННЕГО ФИНАНСИРОВАНИЯ ДЕФИЦИТА БЮДЖЕТА  </t>
  </si>
  <si>
    <t>I</t>
  </si>
  <si>
    <t>1.1.</t>
  </si>
  <si>
    <t>1.1.1.</t>
  </si>
  <si>
    <t>1.1.1.1.</t>
  </si>
  <si>
    <t>Итого р.0502-351 02 00-006</t>
  </si>
  <si>
    <t>1.1.1.1.1.</t>
  </si>
  <si>
    <t>1.2.</t>
  </si>
  <si>
    <t>Н-г на доходы с физических лиц с доход, получ в виде дивидентов  от  долевого  участия  в  деятельности  организаций</t>
  </si>
  <si>
    <t>1.2.1.</t>
  </si>
  <si>
    <t>Прочие  субсидии</t>
  </si>
  <si>
    <t>400 2 02 02999 00 0000 151</t>
  </si>
  <si>
    <t>400 2 02 00000 00 0000 000</t>
  </si>
  <si>
    <t>400 2 02 01001 00 0000 151</t>
  </si>
  <si>
    <t>400 2 02 01001 10 0000 151</t>
  </si>
  <si>
    <t xml:space="preserve">400 2 02 02999 10 0000 151 </t>
  </si>
  <si>
    <t>400 2 02 02999 10 0000 151</t>
  </si>
  <si>
    <t>400 2 02 03000 00 0000 151</t>
  </si>
  <si>
    <t>400 2 02 03015 10 0000 151</t>
  </si>
  <si>
    <t>400 2 00 00000 00 0000 000</t>
  </si>
  <si>
    <t>400 1 11 05030 00 0000 120</t>
  </si>
  <si>
    <t>400 3 02 01050 10 0000 130</t>
  </si>
  <si>
    <t>1.2.1.1.</t>
  </si>
  <si>
    <t>ВСЕГО  р. 0300</t>
  </si>
  <si>
    <t>р.0503-600 02 00-500</t>
  </si>
  <si>
    <t>ИТОГО  р. 0503-600 02 00-500</t>
  </si>
  <si>
    <t>НАЦИОНАЛЬНАЯ БЕЗОПАСНОСТЬ И ПРАВООХРАНИТЕЛЬНАЯ ДЕЯТЕЛЬНОСТЬ</t>
  </si>
  <si>
    <t>Коммунальные  услуги</t>
  </si>
  <si>
    <t>Резервные  фонды</t>
  </si>
  <si>
    <t>Оплата  труда</t>
  </si>
  <si>
    <t>Выплаты  по  оплате  труда</t>
  </si>
  <si>
    <t>Мобилизация  и  вневоинская  подготовка</t>
  </si>
  <si>
    <t>Осуществление первичного воинского учета на  территориях,  где  отсутствуют  военные  комисариаты</t>
  </si>
  <si>
    <t>Работы, услуги по содерж. имущ-ва</t>
  </si>
  <si>
    <t>прочие работы, услуги</t>
  </si>
  <si>
    <t>работы,  услуги по содерж. имущ-ва</t>
  </si>
  <si>
    <t>Оплата  работ, услуг</t>
  </si>
  <si>
    <t>работы, услуги по содерж. имущества</t>
  </si>
  <si>
    <t>прочие работы,услуги</t>
  </si>
  <si>
    <t>Социальное  обеспечение</t>
  </si>
  <si>
    <t>Реализация других функций, связанных с обеспечением национальной безопасности и правоохранительной деятельности</t>
  </si>
  <si>
    <t>001 00 00</t>
  </si>
  <si>
    <t>070 00 00</t>
  </si>
  <si>
    <t>Общегосударственные  вопросы</t>
  </si>
  <si>
    <t>Национальная  безопасность  и  правоохранительная  деятельность</t>
  </si>
  <si>
    <t>Обеспечение  национальной  безопасности  и  правоохранительной  деятельности</t>
  </si>
  <si>
    <t>200 00 00</t>
  </si>
  <si>
    <t>440 00 00</t>
  </si>
  <si>
    <t>Дворцы и дома культуры, другие учреждения культуры и средств массовой информации</t>
  </si>
  <si>
    <t>491 00 00</t>
  </si>
  <si>
    <t>Доплаты к пенсиям, дополнительное пенсионное обеспечение</t>
  </si>
  <si>
    <t>600 00 00</t>
  </si>
  <si>
    <t>1.2.1.1.1.</t>
  </si>
  <si>
    <t>1.2.1.1.2.</t>
  </si>
  <si>
    <t>1.3.</t>
  </si>
  <si>
    <t>1.3.1.</t>
  </si>
  <si>
    <t>1.3.1.1.</t>
  </si>
  <si>
    <t>1.1.2.</t>
  </si>
  <si>
    <t>1.1.2.1.</t>
  </si>
  <si>
    <t>р. 0501-098 02 02-003</t>
  </si>
  <si>
    <t xml:space="preserve"> р. 0501-098 02 01-006</t>
  </si>
  <si>
    <t>Перерселение граждан с разъезда Молодость</t>
  </si>
  <si>
    <t>1.1.2.1.1.</t>
  </si>
  <si>
    <t>1.2.2.</t>
  </si>
  <si>
    <t>1.2.2.1.</t>
  </si>
  <si>
    <t>1.2.2.1.1.</t>
  </si>
  <si>
    <t>1.2.2.1.2.</t>
  </si>
  <si>
    <t>1.3.2.</t>
  </si>
  <si>
    <t>1.3.2.1.</t>
  </si>
  <si>
    <t>1.3.2.1.1.</t>
  </si>
  <si>
    <t>1.3.2.1.2</t>
  </si>
  <si>
    <t>II</t>
  </si>
  <si>
    <t>2.1.</t>
  </si>
  <si>
    <t>Заместитель  главы  администрации</t>
  </si>
  <si>
    <t>по финансово - экономическим  вопросам</t>
  </si>
  <si>
    <t>Пугаева  Ю.А.</t>
  </si>
  <si>
    <t>2.1.1.</t>
  </si>
  <si>
    <t>2.2.</t>
  </si>
  <si>
    <t>2.2.1.</t>
  </si>
  <si>
    <t>III</t>
  </si>
  <si>
    <t>3.1.</t>
  </si>
  <si>
    <t>3.1.1.</t>
  </si>
  <si>
    <t>3.1.1.1.</t>
  </si>
  <si>
    <t>3.1.2.</t>
  </si>
  <si>
    <t>3.1.2.1.</t>
  </si>
  <si>
    <t>3.1.3.</t>
  </si>
  <si>
    <t>3.1.3.1.</t>
  </si>
  <si>
    <t>3.2.</t>
  </si>
  <si>
    <t>400 2 02 02088 10 0001 151</t>
  </si>
  <si>
    <t>400 2 02 02000 10 0001 151</t>
  </si>
  <si>
    <t>Субсидия бюджетам муниципальных образований на обеспечение мероприятий по капиталному ремонту моногоквартирных домов за счет средств поступивших от государственной карпарации фонд содействия реформированию хилищно-коммунального хозяйства</t>
  </si>
  <si>
    <t>Субсидия бюджетам муниципальных образований на обеспечение мероприятий по капиталному ремонту моногоквартирных домов за счет средств бюджетов</t>
  </si>
  <si>
    <t>600 03 01</t>
  </si>
  <si>
    <t>р.0310-247 99 00-001</t>
  </si>
  <si>
    <t>ИТОГО р.0310</t>
  </si>
  <si>
    <t xml:space="preserve">Консолидирован- ный бюджет субъекта Российской Федерации </t>
  </si>
  <si>
    <t>Бюджетные назначения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</si>
  <si>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</si>
  <si>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</si>
  <si>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</si>
  <si>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</si>
  <si>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</si>
  <si>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</si>
  <si>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01</t>
  </si>
  <si>
    <t>00</t>
  </si>
  <si>
    <t>0000000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</si>
  <si>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</si>
  <si>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</si>
  <si>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400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</si>
  <si>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</si>
  <si>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</si>
  <si>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</si>
  <si>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</si>
  <si>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0020100</t>
  </si>
  <si>
    <t>РАСХОДЫ</t>
  </si>
  <si>
    <t>Оплата труда и начисления на выплаты по оплате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</si>
  <si>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</si>
  <si>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</si>
  <si>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</si>
  <si>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</si>
  <si>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</si>
  <si>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</si>
  <si>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</si>
  <si>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Пособия по социальной помощи населению</t>
  </si>
  <si>
    <t>Глава муниципального образования</t>
  </si>
  <si>
    <t>0020300</t>
  </si>
  <si>
    <t>500</t>
  </si>
  <si>
    <t xml:space="preserve">Резервные фонды </t>
  </si>
  <si>
    <t>12</t>
  </si>
  <si>
    <t>0700500</t>
  </si>
  <si>
    <t xml:space="preserve">РАСХОДЫ </t>
  </si>
  <si>
    <t xml:space="preserve">Прочие расходы </t>
  </si>
  <si>
    <t>290</t>
  </si>
  <si>
    <t>0000</t>
  </si>
  <si>
    <t>Центральный аппарат</t>
  </si>
  <si>
    <t>0020400</t>
  </si>
  <si>
    <t>Оплата работ, услуг</t>
  </si>
  <si>
    <t>220</t>
  </si>
  <si>
    <t>221</t>
  </si>
  <si>
    <t xml:space="preserve">Транспортные услуги </t>
  </si>
  <si>
    <t>222</t>
  </si>
  <si>
    <t>223</t>
  </si>
  <si>
    <t>225</t>
  </si>
  <si>
    <t>Работы, услуги по содержанию имущества</t>
  </si>
  <si>
    <t>226</t>
  </si>
  <si>
    <t>Пособия по соц. помощи населению</t>
  </si>
  <si>
    <t>Пенсии,пособия выплачиваемыеорганизациями сектора</t>
  </si>
  <si>
    <t>ПОСТУПЛЕНИЕ НЕФИНАНСОВЫХ АКТИВОВ</t>
  </si>
  <si>
    <t>300</t>
  </si>
  <si>
    <t>310</t>
  </si>
  <si>
    <t>340</t>
  </si>
  <si>
    <t>Осуществление первичного воинского учета на территориях ,где отсутствуют военные комиссариаты</t>
  </si>
  <si>
    <t>03</t>
  </si>
  <si>
    <t>0010000</t>
  </si>
  <si>
    <t xml:space="preserve">Мобилизация и вневоинская подготовка </t>
  </si>
  <si>
    <t>0013600</t>
  </si>
  <si>
    <t>224</t>
  </si>
  <si>
    <t>Прочие работы, услуги</t>
  </si>
  <si>
    <t>Прочие выплаты (пайков., санат.-курортное страхов.)</t>
  </si>
  <si>
    <t>Оплата работ ,  услуг</t>
  </si>
  <si>
    <t xml:space="preserve">поступление нефинансовых активов </t>
  </si>
  <si>
    <t>10</t>
  </si>
  <si>
    <t>2479900</t>
  </si>
  <si>
    <t>04</t>
  </si>
  <si>
    <t xml:space="preserve">Реализация дополнительных мероприятий направленных на снижение напряженности на рынке труда </t>
  </si>
  <si>
    <t>5100300</t>
  </si>
  <si>
    <t>09</t>
  </si>
  <si>
    <t>7950000</t>
  </si>
  <si>
    <t xml:space="preserve">Безвозмездные и безвозвратные перечисления организациям </t>
  </si>
  <si>
    <t xml:space="preserve">Безвозмездные и безвозвратные перечисления гос.организациям </t>
  </si>
  <si>
    <t>241</t>
  </si>
  <si>
    <t xml:space="preserve">Безвозмездные и безвозвратные перечисления негос.организациям </t>
  </si>
  <si>
    <t>242</t>
  </si>
  <si>
    <t>260</t>
  </si>
  <si>
    <t>262</t>
  </si>
  <si>
    <t>Изготовление правил землепользования и застройки территорий</t>
  </si>
  <si>
    <t>3400300</t>
  </si>
  <si>
    <t>Приобретение  услуг</t>
  </si>
  <si>
    <t>05</t>
  </si>
  <si>
    <t>Поддержка коммунального хозяйства</t>
  </si>
  <si>
    <t xml:space="preserve">Мероприятия в области коммунального хозяйства </t>
  </si>
  <si>
    <t>3900100</t>
  </si>
  <si>
    <t xml:space="preserve">Поступление нефинансовых активов </t>
  </si>
  <si>
    <t>3900002</t>
  </si>
  <si>
    <t>БЛАГОУСТРОЙСТВО</t>
  </si>
  <si>
    <t xml:space="preserve">Уличное освещение </t>
  </si>
  <si>
    <t>6000100</t>
  </si>
  <si>
    <t>Оплата работ,  услуг</t>
  </si>
  <si>
    <t>6000300</t>
  </si>
  <si>
    <t xml:space="preserve">Озеленение поселковых парков </t>
  </si>
  <si>
    <t xml:space="preserve">Прочие мероприятия по благоустройству городских округов и поселений </t>
  </si>
  <si>
    <t>6000500</t>
  </si>
  <si>
    <t xml:space="preserve">Оплата работ, услуг </t>
  </si>
  <si>
    <t xml:space="preserve">Услуги по содержанию имущества </t>
  </si>
  <si>
    <t xml:space="preserve">     08</t>
  </si>
  <si>
    <t xml:space="preserve">00 </t>
  </si>
  <si>
    <t>08</t>
  </si>
  <si>
    <t>4400000</t>
  </si>
  <si>
    <t>4409900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</si>
  <si>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</si>
  <si>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</si>
  <si>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Содержание поселковых библиотек</t>
  </si>
  <si>
    <t>5223010</t>
  </si>
  <si>
    <t>023</t>
  </si>
  <si>
    <t xml:space="preserve">Мероприятия в области здравоохранения, спорта и физической культуры </t>
  </si>
  <si>
    <t>5129700</t>
  </si>
  <si>
    <t>Приобретение работ, услуг</t>
  </si>
  <si>
    <t xml:space="preserve">ДОПЛАТЫ К ПЕНСИЯМ, ДОПОЛНИТЕЛЬНОЕ ПЕНСИОННОЕ ОБЕСПЕЧЕНИЕ </t>
  </si>
  <si>
    <t>4910000</t>
  </si>
  <si>
    <t>Доплаты к пенсиям государственных служащих субъектов РФ  и муниципальных служащих</t>
  </si>
  <si>
    <t>4910100</t>
  </si>
  <si>
    <t xml:space="preserve">Социальное обеспечение населения </t>
  </si>
  <si>
    <t>5058500</t>
  </si>
  <si>
    <t>"Межбюджетные трансферты" МО "Поселок Верхний Баскунчак"</t>
  </si>
  <si>
    <t>11</t>
  </si>
  <si>
    <t xml:space="preserve">Межбюджетные трансферты </t>
  </si>
  <si>
    <t>5210000</t>
  </si>
  <si>
    <t>5210600</t>
  </si>
  <si>
    <t xml:space="preserve">Перечисления другим бюджетам </t>
  </si>
  <si>
    <t>ВСЕГО РАСХОДОВ</t>
  </si>
  <si>
    <t>Приложение №4</t>
  </si>
  <si>
    <t>Приложение №5</t>
  </si>
  <si>
    <t>Итого р.0502-3900100-500</t>
  </si>
  <si>
    <t>р. 0310-2479900-001</t>
  </si>
  <si>
    <t>247 99 00</t>
  </si>
  <si>
    <t>390 00 02</t>
  </si>
  <si>
    <t>390 01 00</t>
  </si>
  <si>
    <t>390 00 00</t>
  </si>
  <si>
    <t>Приложение № 18</t>
  </si>
  <si>
    <t>Приложение № 19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</si>
  <si>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</si>
  <si>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</si>
  <si>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</si>
  <si>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</si>
  <si>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</si>
  <si>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</si>
  <si>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Благоустройство поселка (вывоз крубногабаритного мусора)  </t>
  </si>
  <si>
    <t>р.0401-510 03 00-500</t>
  </si>
  <si>
    <t>Реализация дополнительных мероприятий направленные на снижение напряженности на рынке труда</t>
  </si>
  <si>
    <t>р. 0111-065 03 00-013</t>
  </si>
  <si>
    <t>Погашение миуниципального долга</t>
  </si>
  <si>
    <t>Погашение процентов по муниципальному долгу</t>
  </si>
  <si>
    <t>Итого р. 0111</t>
  </si>
  <si>
    <t>р. 0502-390 03 01-500</t>
  </si>
  <si>
    <t>Закупка топлива для обеспечения теплом населения на очередной отопительный сезон (средства бюджета Астраханской области)</t>
  </si>
  <si>
    <t>Итого р. 0502-390 03 01-500</t>
  </si>
  <si>
    <t>Погашение процентов по кредитам</t>
  </si>
  <si>
    <t>Погашение процентов по кредитам полученным от кредитных организаций</t>
  </si>
  <si>
    <t>Расходы за счет средств от от оказания платных услуг оказываемых учреждениями культуры</t>
  </si>
  <si>
    <t>065 03 00</t>
  </si>
  <si>
    <t>Процентные платежи по кредитным обязательствам муниципального образования</t>
  </si>
  <si>
    <t>Дополнительные мероприятия направленные на снижение напряженности на рынке труда</t>
  </si>
  <si>
    <t>510 03 00</t>
  </si>
  <si>
    <t xml:space="preserve">Расходы по разделам и подразделам функциональной классификации расходов </t>
  </si>
  <si>
    <t>за счет субвенций из районного бюджета</t>
  </si>
  <si>
    <t>Расходы за счет средств от от оказания платных услуг учреждениями культуры</t>
  </si>
  <si>
    <t xml:space="preserve">Приложение № 1 решению Совета </t>
  </si>
  <si>
    <t>К  О  Д  Ы                                             классификации расходов бюджетов</t>
  </si>
  <si>
    <t>за 2012 год</t>
  </si>
  <si>
    <t>за 2013 год</t>
  </si>
  <si>
    <t xml:space="preserve">Погашение процентов по муниципальному долгу </t>
  </si>
  <si>
    <t>0650300</t>
  </si>
  <si>
    <t xml:space="preserve">Погашение муниципального долга </t>
  </si>
  <si>
    <t>231</t>
  </si>
  <si>
    <t>7951301</t>
  </si>
  <si>
    <t>3900000</t>
  </si>
  <si>
    <t>Субсидии на приобретение топлива на отопительный сезон 2010-2011</t>
  </si>
  <si>
    <t>3900301</t>
  </si>
  <si>
    <t>6000000</t>
  </si>
  <si>
    <t xml:space="preserve">Ремонт наружного освещения </t>
  </si>
  <si>
    <t xml:space="preserve">Средства от предпринимательской  и иной приносящей доход деятельности  </t>
  </si>
  <si>
    <t xml:space="preserve">                                                                                                                  Приложение № 8</t>
  </si>
  <si>
    <t>Приложение № 20</t>
  </si>
  <si>
    <t xml:space="preserve">к решению Совета МО </t>
  </si>
  <si>
    <t>"Поселок Верхний Баскунчак"</t>
  </si>
  <si>
    <t>Перечень имущества, составляющего казну муниципального образования "Поселок Верхний Баскунчак" на 2011 год</t>
  </si>
  <si>
    <t xml:space="preserve"> </t>
  </si>
  <si>
    <t>Инвентар.</t>
  </si>
  <si>
    <t>Наименование объекта</t>
  </si>
  <si>
    <t>Ед. 
изм.</t>
  </si>
  <si>
    <t>Балансовая стоимость на 01.01.2011 г</t>
  </si>
  <si>
    <t>Износ</t>
  </si>
  <si>
    <t>Остаточная стоимость на 01.01.2011 г.</t>
  </si>
  <si>
    <t>номер</t>
  </si>
  <si>
    <t>(предмета)</t>
  </si>
  <si>
    <t>Дебет</t>
  </si>
  <si>
    <t>кол-во</t>
  </si>
  <si>
    <t>Сумма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</si>
  <si>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</si>
  <si>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</si>
  <si>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</si>
  <si>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</si>
  <si>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</si>
  <si>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</si>
  <si>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</si>
  <si>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</si>
  <si>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</si>
  <si>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</si>
  <si>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МО0000000044</t>
  </si>
  <si>
    <t>Двухквартирный дом</t>
  </si>
  <si>
    <t>шт.</t>
  </si>
  <si>
    <t xml:space="preserve">-                   </t>
  </si>
  <si>
    <t>МО0000000045</t>
  </si>
  <si>
    <t>Одноквартирный ж/д Кирова 185</t>
  </si>
  <si>
    <t>МО0000000046</t>
  </si>
  <si>
    <t>Одноквартирный ж/д пер.1 Дачный 10</t>
  </si>
  <si>
    <t>МО0000000047</t>
  </si>
  <si>
    <t>Одноквартирный ж/д пер.2 Дачный 2</t>
  </si>
  <si>
    <t>МО0000000048</t>
  </si>
  <si>
    <t>Одноквартирный ж/д пер.2 Дачный 3</t>
  </si>
  <si>
    <t>МО0000000049</t>
  </si>
  <si>
    <t>Одноквартирный ж/д. пер.2 Дачный 4</t>
  </si>
  <si>
    <t>МО0000000050</t>
  </si>
  <si>
    <t>Одноквартирный ж/д пер.2 Дачный 7</t>
  </si>
  <si>
    <t>МО0000000051</t>
  </si>
  <si>
    <t>Одноквартирный ж/д пер.Локомотивный 1</t>
  </si>
  <si>
    <t>МО0000000052</t>
  </si>
  <si>
    <t>Одноквартирный ж/д пер.Локомотивный 5</t>
  </si>
  <si>
    <t>МО0000000053</t>
  </si>
  <si>
    <t>Одноквартирный ж/д пер.Некрасова 4</t>
  </si>
  <si>
    <t>МО0000000055</t>
  </si>
  <si>
    <t>Одноквартирный ж/д пер.Некрасова 10</t>
  </si>
  <si>
    <t>МО0000000056</t>
  </si>
  <si>
    <t>Одноквартирный ж/д пер.Некрасова 8</t>
  </si>
  <si>
    <t>МО0000000057</t>
  </si>
  <si>
    <t>Одноквартирный ж/д Коммунистическая 18</t>
  </si>
  <si>
    <t>МО0000000058</t>
  </si>
  <si>
    <t>Одноквартирный ж/д Коммунистическая 230</t>
  </si>
  <si>
    <t>МО0000000059</t>
  </si>
  <si>
    <t>Одноквартирный ж/д Коммунистическая 237</t>
  </si>
  <si>
    <t>МО0000000061</t>
  </si>
  <si>
    <t>Одноквартирный ж/д Ленина 230</t>
  </si>
  <si>
    <t>МО0000000062</t>
  </si>
  <si>
    <t>Одноквартирный ж/д Ленина 243</t>
  </si>
  <si>
    <t>МО0000000064</t>
  </si>
  <si>
    <t>Одноквартирный ж/д пер.3 Дачный 5</t>
  </si>
  <si>
    <t>МО0000000066</t>
  </si>
  <si>
    <t>Одноквартирный ж/д Советская 239</t>
  </si>
  <si>
    <t>МО0000000067</t>
  </si>
  <si>
    <t>Одноквартирный ж/д Советская 257</t>
  </si>
  <si>
    <t>МО0000000068</t>
  </si>
  <si>
    <t>Одноквартирный ж/д Советская 259</t>
  </si>
  <si>
    <t>МО0000000069</t>
  </si>
  <si>
    <t>Одноквартирный ж/д Строителей 54</t>
  </si>
  <si>
    <t>МО0000000070</t>
  </si>
  <si>
    <t>Одноквартирный ж/д Чапаева 14</t>
  </si>
  <si>
    <t>МО0000000071</t>
  </si>
  <si>
    <t>Одноквартирный ж/д Щетинкина 70</t>
  </si>
  <si>
    <t>МО0000000072</t>
  </si>
  <si>
    <t>Пристрой к дому ул.Пролетарская 104</t>
  </si>
  <si>
    <t>МО0000000073</t>
  </si>
  <si>
    <t>Общежитие пер.Молодежный 6</t>
  </si>
  <si>
    <t>МО0000000074</t>
  </si>
  <si>
    <t>Общежите пер.Молодежный 1</t>
  </si>
  <si>
    <t>МО0000000075</t>
  </si>
  <si>
    <t>Квартира Молодежный 8</t>
  </si>
  <si>
    <t>МО0000000076</t>
  </si>
  <si>
    <t>Квартира пер.Вокзальный д.14 кв.1</t>
  </si>
  <si>
    <t>МО0000000077</t>
  </si>
  <si>
    <t>Квартира пер.Школьный д.5 кв.6</t>
  </si>
  <si>
    <t>МО0000000078</t>
  </si>
  <si>
    <t>Квартира ул.Джамбула д.12 кв.19</t>
  </si>
  <si>
    <t>МО0000000079</t>
  </si>
  <si>
    <t>Квартира ул.Советская д.16 кв.3</t>
  </si>
  <si>
    <t>МО0000000081</t>
  </si>
  <si>
    <t>Здание гаража на 2 машины</t>
  </si>
  <si>
    <t>МО0000000082</t>
  </si>
  <si>
    <t>Здание гаража на 5 машин</t>
  </si>
  <si>
    <t>МО0000000083</t>
  </si>
  <si>
    <t>Здание спецсвязи (ПТУС) ул.Щетинкина 38</t>
  </si>
  <si>
    <t>МО0000000084</t>
  </si>
  <si>
    <t>Здание бани</t>
  </si>
  <si>
    <t>МО0000000085</t>
  </si>
  <si>
    <t>Здание гаража ул.Абая 1А</t>
  </si>
  <si>
    <t>МО0000000086</t>
  </si>
  <si>
    <t>Здание насосной станции мастерской</t>
  </si>
  <si>
    <t>МО0000000087</t>
  </si>
  <si>
    <t>КНС с двухярусным отстойником, ул.К.Маркса 8Г</t>
  </si>
  <si>
    <t>МО0000000088</t>
  </si>
  <si>
    <t>Котельная "Квартальная"</t>
  </si>
  <si>
    <t>МО0000000089</t>
  </si>
  <si>
    <t>Котельная №3</t>
  </si>
  <si>
    <t>МО0000000090</t>
  </si>
  <si>
    <t>Котельная №9</t>
  </si>
  <si>
    <t>МО0000000091</t>
  </si>
  <si>
    <t>Бокс пр.Городской 2А</t>
  </si>
  <si>
    <t>МО0000000092</t>
  </si>
  <si>
    <t>Здание конторы пр Городской 2А</t>
  </si>
  <si>
    <t>МО0000000093</t>
  </si>
  <si>
    <t>Здание сарая пр.Городской 2А</t>
  </si>
  <si>
    <t>МО0000000094</t>
  </si>
  <si>
    <t>Склад ГСМ пр.Городской 2А</t>
  </si>
  <si>
    <t>МО0000000095</t>
  </si>
  <si>
    <t>Здание клуба</t>
  </si>
  <si>
    <t>МО0000000117</t>
  </si>
  <si>
    <t>Одноквартирный  ж/д пер 4 Дачный 3</t>
  </si>
  <si>
    <t>Водосборник (25м.куб.)</t>
  </si>
  <si>
    <t>Водосборник (76м.куб)</t>
  </si>
  <si>
    <t>Резервуар</t>
  </si>
  <si>
    <t>Форсунка ротационная БП-001</t>
  </si>
  <si>
    <t>Электродвигатель дымососа тип 5 А 200L4</t>
  </si>
  <si>
    <t>Электронасосный агрегат А1-3В-16/25-20/25 Б-3</t>
  </si>
  <si>
    <t>Бензотриммир Лесник 305</t>
  </si>
  <si>
    <t>МО0000000096</t>
  </si>
  <si>
    <t>Мотопомпа "Чемпион" GTP-80</t>
  </si>
  <si>
    <t>МО0000000097</t>
  </si>
  <si>
    <t>Мотопомпа "Чемпион" GHP-40</t>
  </si>
  <si>
    <t>МО0000000034</t>
  </si>
  <si>
    <t>Мотоцикл "Урал"</t>
  </si>
  <si>
    <t>МО0000000035</t>
  </si>
  <si>
    <t>МО000000127</t>
  </si>
  <si>
    <t>Реконструкция улично-дорожной сети поселка</t>
  </si>
  <si>
    <t>МО000000129</t>
  </si>
  <si>
    <t>Установка пожарных гидрантов</t>
  </si>
  <si>
    <t>МО000000130</t>
  </si>
  <si>
    <t>Бензопила цепная Husgvarna</t>
  </si>
  <si>
    <t>МО000000131</t>
  </si>
  <si>
    <t>контейнер для ТБО</t>
  </si>
  <si>
    <t>МО000000132</t>
  </si>
  <si>
    <t>рукав в к/те со стволом</t>
  </si>
  <si>
    <t>МО000000133</t>
  </si>
  <si>
    <t>МО000000134</t>
  </si>
  <si>
    <t>Бензопила Partner-350 001776</t>
  </si>
  <si>
    <t>МО000000135</t>
  </si>
  <si>
    <t>Бензопила цепная  Pouian 2150 R 001775</t>
  </si>
  <si>
    <t>МО000000136</t>
  </si>
  <si>
    <t>Контейнер для ТБО</t>
  </si>
  <si>
    <t>МО000000147</t>
  </si>
  <si>
    <t>Урна</t>
  </si>
  <si>
    <t>МО000000148</t>
  </si>
  <si>
    <t>Скамейка (без спинки)</t>
  </si>
  <si>
    <t>МО000000149</t>
  </si>
  <si>
    <t>МО000000150</t>
  </si>
  <si>
    <t>Баскетбольное кольцо</t>
  </si>
  <si>
    <t>МО000000151</t>
  </si>
  <si>
    <t>Качели многоместная</t>
  </si>
  <si>
    <t>МО000000152</t>
  </si>
  <si>
    <t>Песочница</t>
  </si>
  <si>
    <t>МО000000153</t>
  </si>
  <si>
    <t>Машина(детская площадка)</t>
  </si>
  <si>
    <t>МО000000154</t>
  </si>
  <si>
    <t>Шведский уголок</t>
  </si>
  <si>
    <t>МО000000155</t>
  </si>
  <si>
    <t>Качалка-лодочка</t>
  </si>
  <si>
    <t>МО000000163</t>
  </si>
  <si>
    <t>МО000000164</t>
  </si>
  <si>
    <t>МО000000165</t>
  </si>
  <si>
    <t>МО000000166</t>
  </si>
  <si>
    <t>Лиана (детская площадка)</t>
  </si>
  <si>
    <t>МО000000167</t>
  </si>
  <si>
    <t>Горка (нерж)</t>
  </si>
  <si>
    <t>МО000000168</t>
  </si>
  <si>
    <t>МО000000169</t>
  </si>
  <si>
    <t>Качели русские (двухместные)</t>
  </si>
  <si>
    <t>Трактор Агромаш 90 ТГ (ВТ-90)  с бульдозерным оборудованием (поворотный отвал)</t>
  </si>
  <si>
    <t>Ассенизационная вакуумная машина КО-503В-2</t>
  </si>
  <si>
    <t>Автомобиль ГАЗ САЗ 3901-10 (мусоровоз)</t>
  </si>
  <si>
    <t>Экскаватор одноковшовый ЭО2621В2</t>
  </si>
  <si>
    <t>0111</t>
  </si>
  <si>
    <t>0113</t>
  </si>
  <si>
    <t xml:space="preserve">Обеспечение пожарной безопасности </t>
  </si>
  <si>
    <t>0310</t>
  </si>
  <si>
    <t xml:space="preserve">Культура, кинематография </t>
  </si>
  <si>
    <t xml:space="preserve">Общеэкономические вопросы </t>
  </si>
  <si>
    <t>Дорожное хозяйство(дорожные фонды)</t>
  </si>
  <si>
    <t xml:space="preserve">Физическая культура и спорт </t>
  </si>
  <si>
    <t>Другие вопросы в области физической культуры и спорта</t>
  </si>
  <si>
    <t>р.0111-07005 00-013</t>
  </si>
  <si>
    <t>Итого  р.0111</t>
  </si>
  <si>
    <t>р.0113-002 04 00-500</t>
  </si>
  <si>
    <t>Итого  р.0113</t>
  </si>
  <si>
    <t>р.1105-512 97 00-500</t>
  </si>
  <si>
    <t>ИТОГО р.1105</t>
  </si>
  <si>
    <t>р.1301-065 03 00-013</t>
  </si>
  <si>
    <t>Итого р. 1301</t>
  </si>
  <si>
    <t>БЮДЖЕТ ПО РАЗДЕЛУ " ФИЗИЧЕСКАЯ  КУЛЬТУРА  И СПОРТ" МО"Поселок Верхний Баскунчак" НА  2011 год.</t>
  </si>
  <si>
    <t>Итого р.1105-512 97 00-500</t>
  </si>
  <si>
    <t>Итого р.1105</t>
  </si>
  <si>
    <t>ВСЕГО р.1100</t>
  </si>
  <si>
    <t>Обеспечение пожарной безопасности</t>
  </si>
  <si>
    <t xml:space="preserve">  БЮДЖЕТ ПО РАЗДЕЛУ "ОБСЛУЖИВАНИЕ МУНИЦИПАЛЬНОГО ДОЛГА " МО "ПОСЕЛОК ВЕРХНИЙ БАСКУНЧАК" НА 2011год.</t>
  </si>
  <si>
    <t>погашение процентов по кредитам</t>
  </si>
  <si>
    <t xml:space="preserve">Обслуживание муниципального долга </t>
  </si>
  <si>
    <t>р.1300</t>
  </si>
  <si>
    <t>ВСЕГО по р. 1301</t>
  </si>
  <si>
    <t>р. 1301-0650300-013</t>
  </si>
  <si>
    <t>13</t>
  </si>
  <si>
    <t xml:space="preserve">Другие вопросы в области физической культуры и спорта </t>
  </si>
  <si>
    <t xml:space="preserve">                                                                        БЮДЖЕТ   ПО  РАЗДЕЛУ  "0801" "  КУЛЬТУРА "  </t>
  </si>
  <si>
    <t xml:space="preserve">  РАСХОДЫ ЗА СЧЕТ СРЕДСТВ ОТ ПЛАТНЫХ УСЛУГ ПО  РАЗДЕЛУ "  КУЛЬТУРА"  </t>
  </si>
  <si>
    <t xml:space="preserve"> СВОД  БЮДЖЕТА И РАСХОДОВ ЗА СЧЕТ СРЕДСТВ ОТ ОКАЗАНИЯ ПЛАТНЫХ УСЛУГ ПО  РАЗДЕЛУ "  КУЛЬТУРА "  </t>
  </si>
  <si>
    <t>Уточнения</t>
  </si>
  <si>
    <t>Уточненный бюджет</t>
  </si>
  <si>
    <t>р. 0309-218 02 00-013</t>
  </si>
  <si>
    <t>Защита населения и территории от ЧС природного и техногенного характера</t>
  </si>
  <si>
    <t>ИТОГО  р. 0309</t>
  </si>
  <si>
    <t>400 2 02 04012 10 0000 151</t>
  </si>
  <si>
    <t>р. 0409-795 0007-365</t>
  </si>
  <si>
    <t>7950007</t>
  </si>
  <si>
    <t>Проектно- изыскательские работы по землеустройству ул. Абая для строительства водопровода</t>
  </si>
  <si>
    <t>Погашение задолженности по реконструкции наружных сетей теплоснабжения  по ул. Советсткая от котельной № 3</t>
  </si>
  <si>
    <t>р.0309-218 02 00-013</t>
  </si>
  <si>
    <t>Защита населения и территории от ЧС  природного и техногеного характера</t>
  </si>
  <si>
    <t>Безвозмездные перечисления</t>
  </si>
  <si>
    <t xml:space="preserve">Безвозмездные перечисления предприятиям </t>
  </si>
  <si>
    <t>Проектно-изыскательские работы по землеустройству ул. Абая для строительства водопровода</t>
  </si>
  <si>
    <t>Погашение задолженности по реконструкции наружных сетей теплоснабжения по ул. Советская от котельной № 3</t>
  </si>
  <si>
    <t>2180200</t>
  </si>
  <si>
    <t>Безвозмездные перечисление негосударственным предприятиям</t>
  </si>
  <si>
    <t>Благойстройство поселка</t>
  </si>
  <si>
    <t>МУК "ДОМ КУЛЬТУРЫ" администрации МО "Село Болхуны"</t>
  </si>
  <si>
    <t>РАСХОДЫ БЮДЖЕТА МО "Село Болхуны"</t>
  </si>
  <si>
    <t>Администрация МО "Село Болхуны"</t>
  </si>
  <si>
    <t>"Национальная оборона" МО"Село Болхуны"</t>
  </si>
  <si>
    <t>"Национальная безопасность  " МО"Село Болхуны"</t>
  </si>
  <si>
    <t>"Жилищно-коммунальное хозяйство" МО "Село Болхуны"</t>
  </si>
  <si>
    <t>"Социальная политика" МО"Село Болхуны"</t>
  </si>
  <si>
    <t>"Физическая культура и спорт" МО "Село Болхуны"</t>
  </si>
  <si>
    <t xml:space="preserve">на 2012год </t>
  </si>
  <si>
    <t>Участие в предупр.и ликвидац.послед.чрезв.ситуаций</t>
  </si>
  <si>
    <t>5210610</t>
  </si>
  <si>
    <t>251</t>
  </si>
  <si>
    <t>утверждение генеральных планов</t>
  </si>
  <si>
    <t>7950016</t>
  </si>
  <si>
    <t>Проектные работы по территориальному планированию</t>
  </si>
  <si>
    <t xml:space="preserve">                                                                                                                                       " Село Болхуны"</t>
  </si>
  <si>
    <t xml:space="preserve"> на 2012 ГОДА</t>
  </si>
  <si>
    <t>МО "Село Болхуны"</t>
  </si>
  <si>
    <t>МО "Село Болхуны" НА 20112 год.</t>
  </si>
  <si>
    <t>БЮДЖЕТ ПО РАЗДЕЛУ "СОЦИАЛЬНАЯ  ПОЛИТИКА" МО"Село Болхуны" НА  2012год.</t>
  </si>
  <si>
    <t xml:space="preserve">Доходная часть бюджета на 2012 год </t>
  </si>
  <si>
    <t xml:space="preserve">МО " Село Болхуны"" </t>
  </si>
  <si>
    <t xml:space="preserve">МО" Село Болхуны" </t>
  </si>
  <si>
    <t xml:space="preserve">Утв. Бюджет </t>
  </si>
  <si>
    <t>182 1 05 03010 01 0000 000</t>
  </si>
  <si>
    <t>Единый сельхоз налог</t>
  </si>
  <si>
    <t>Единый сельхоз налог(за налоговые периоды,истекшие 01.01.2011г.</t>
  </si>
  <si>
    <t>182 1 05 03020 01 0000 000</t>
  </si>
  <si>
    <t>Арендная плата и пост.от продажи права на закл.дог.аренды за земли до разг.гос.собст.</t>
  </si>
  <si>
    <t>Доходы от продажи земельных участков,государственная собственность нам которые не разграничена и которые расположены в границах поселений</t>
  </si>
  <si>
    <t>400 1 14 06014 10 0000 430</t>
  </si>
  <si>
    <t>Субсидия  на реализацию долгосрочной ОЦП"Развитие дорожного хоз.АО на 2012-2016годы и перспективу до 2020года"</t>
  </si>
  <si>
    <t>бюджета на 2012год МО "Село Болхуны"</t>
  </si>
  <si>
    <t>РАСХОДЫ БЮДЖЕТА  МО "Село Болхуны" НА 2012 ГОД ПО ВИДАМ РАСХОДОВ ФУНКЦИОНАЛЬНОЙ КЛАССИФИКАЦИИ РАСХОДОВ БЮДЖЕТОВ РОССИЙСКОЙ ФЕДЕРАЦИИ</t>
  </si>
  <si>
    <t>Благоустройство-ремонт дорог.</t>
  </si>
  <si>
    <t>Увеличение стоимости нематериальных запасов</t>
  </si>
  <si>
    <t>5221312</t>
  </si>
  <si>
    <t xml:space="preserve">"Проектные работы по территор.планированию" МО "Село Болхуны" </t>
  </si>
  <si>
    <t xml:space="preserve">"Благоустройство-ремонт дорог" МО "Село Болхуны" </t>
  </si>
  <si>
    <t xml:space="preserve">"Поддержка комунального хозяйства" МО "Село Болхуны" </t>
  </si>
  <si>
    <t>"доплата к пенсиям" МО "Село Болхуны"</t>
  </si>
  <si>
    <t>Прочие безвоздмезные поступления в бюджеты поселений</t>
  </si>
  <si>
    <t>400 2 07 05000 10 0000 180</t>
  </si>
  <si>
    <t>РАСХОДЫ  БЮДЖЕТА МО "СЕЛО БОЛХУНЫ" НА 2012 ГОД ПО ЦЕЛЕВЫМ СТАТЬЯМ ФУНКЦИОНАЛЬНОЙ КЛАССИФИКАЦИИ РАСХОДОВ БЮДЖЕТОВ РОССИЙСКОЙ ФЕДЕРАЦИИ</t>
  </si>
  <si>
    <t>МО "Село БОлхуны"</t>
  </si>
  <si>
    <t xml:space="preserve">   ПО РАЗДЕЛУ "ОБЩЕГОСУДАРСТВЕННЫЕ ВОПРОСЫ"  МО "Село болхуны" НА 2012год.</t>
  </si>
  <si>
    <t xml:space="preserve">  БЮДЖЕТ ПО РАЗДЕЛУ "Национальная оборона" МО "Село Болхуны"" НА 2012год.</t>
  </si>
  <si>
    <t>р.0409-795 13 02-006</t>
  </si>
  <si>
    <t>р. 0412-338 00 00-500</t>
  </si>
  <si>
    <t>р.0409-522 13 12-006</t>
  </si>
  <si>
    <t xml:space="preserve"> БЮДЖЕТ ПО РАЗДЕЛУ "НАЦИОНАЛЬНАЯ  ЭКОНОМИКА" МО "СЕЛО БОЛХУНЫ" НА 2012 год.</t>
  </si>
  <si>
    <t>ИТОГО р.0503-600 01 00-006</t>
  </si>
  <si>
    <t>р.0113-795 00 08-500</t>
  </si>
  <si>
    <t>р.0113-521 06 10-017</t>
  </si>
  <si>
    <t>Перечисления другим бюджетам бюджетной системы РФ</t>
  </si>
  <si>
    <t>р.0113-521 06 11-017</t>
  </si>
  <si>
    <t>увеличение стоим.материальных запасов</t>
  </si>
  <si>
    <t>МКУК  " Дом  культуры"  администрации  МО  "Село Болхуны"</t>
  </si>
  <si>
    <t>5210611</t>
  </si>
  <si>
    <t>7950008</t>
  </si>
  <si>
    <t>7951302</t>
  </si>
  <si>
    <t>3380000</t>
  </si>
  <si>
    <t>Безвоздмездные перечисления государственным и муниципальным организациям</t>
  </si>
  <si>
    <t xml:space="preserve"> БЮДЖЕТ  ПО РАЗДЕЛУ "ЖИЛИЩНО-КОММУНАЛЬНОЕ ХОЗЯЙСТВО" МО "Село Болхуны"   НА 2012 год </t>
  </si>
  <si>
    <t>400 1 13 01995 10 0000 130</t>
  </si>
  <si>
    <t>от 5.03.2012 №5</t>
  </si>
  <si>
    <t>МО"Село Болхуны"   на  2012 год.</t>
  </si>
  <si>
    <t>МО "Село Болхуны" НА 2012 год.</t>
  </si>
  <si>
    <t>Расходы за счет средств от платных услуг МКУК "Дом культуры" администрации МО "Село Болхуны"</t>
  </si>
  <si>
    <t>МО "Болхуны" НА 2012 год.</t>
  </si>
  <si>
    <t>МО "Село Болхуны"от 05.03.20112г. № 5</t>
  </si>
  <si>
    <t>Начисления на заработную плату</t>
  </si>
  <si>
    <t>от 5.03.2012г.№5</t>
  </si>
  <si>
    <t>№5 от 5.03.2012г.</t>
  </si>
  <si>
    <t>Расходы за счет средств от оказания платных услуг  МКУК "Дом культуры" администрации МО "Село Болхуны"</t>
  </si>
  <si>
    <t xml:space="preserve">                                                                                                                        к решению Совета МО №5</t>
  </si>
  <si>
    <t>05.03.2012г.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</si>
</sst>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00_р_._-;\-* #,##0.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0.0%"/>
    <numFmt numFmtId="174" formatCode="#,##0.00_ ;\-#,##0.00\ "/>
    <numFmt numFmtId="175" formatCode="#,##0.0_ ;\-#,##0.0\ "/>
    <numFmt numFmtId="176" formatCode="#,##0_ ;\-#,##0\ "/>
    <numFmt numFmtId="177" formatCode="0.000"/>
    <numFmt numFmtId="178" formatCode="#,##0.000"/>
    <numFmt numFmtId="179" formatCode="0.0000"/>
    <numFmt numFmtId="180" formatCode="_-* #,##0.0_р_._-;\-* #,##0.0_р_._-;_-* &quot;-&quot;?_р_._-;_-@_-"/>
    <numFmt numFmtId="181" formatCode="_-* #,##0.0000_р_._-;\-* #,##0.0000_р_._-;_-* &quot;-&quot;??_р_._-;_-@_-"/>
    <numFmt numFmtId="182" formatCode="0.00000"/>
    <numFmt numFmtId="183" formatCode="_-* #,##0.0000_р_._-;\-* #,##0.0000_р_._-;_-* &quot;-&quot;????_р_._-;_-@_-"/>
    <numFmt numFmtId="184" formatCode="#,##0.0000"/>
    <numFmt numFmtId="185" formatCode="0.000000"/>
    <numFmt numFmtId="186" formatCode="0.0000000"/>
    <numFmt numFmtId="187" formatCode="#,##0.00&quot;р.&quot;"/>
    <numFmt numFmtId="188" formatCode="#,##0.00000"/>
    <numFmt numFmtId="189" formatCode="_-* #,##0.00000_р_._-;\-* #,##0.00000_р_._-;_-* &quot;-&quot;?????_р_._-;_-@_-"/>
    <numFmt numFmtId="190" formatCode="0;[Red]\-0"/>
    <numFmt numFmtId="191" formatCode="#,##0.00;[Red]\-#,##0.00"/>
    <numFmt numFmtId="192" formatCode="#,##0.000000"/>
    <numFmt numFmtId="193" formatCode="#,##0.0000000"/>
    <numFmt numFmtId="194" formatCode="0.00000000"/>
  </numFmts>
  <fonts count="114">
    <font>
      <sz val="10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 Cyr"/>
      <family val="2"/>
    </font>
    <font>
      <b/>
      <sz val="12"/>
      <name val="Arial Cyr"/>
      <family val="0"/>
    </font>
    <font>
      <b/>
      <sz val="10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5"/>
      <color indexed="8"/>
      <name val="Times New Roman"/>
      <family val="1"/>
    </font>
    <font>
      <sz val="15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3"/>
      <name val="Arial Cyr"/>
      <family val="2"/>
    </font>
    <font>
      <b/>
      <i/>
      <sz val="12"/>
      <name val="Arial Cyr"/>
      <family val="0"/>
    </font>
    <font>
      <sz val="13"/>
      <name val="Arial Cyr"/>
      <family val="0"/>
    </font>
    <font>
      <i/>
      <sz val="11"/>
      <name val="Arial Cyr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"/>
      <family val="2"/>
    </font>
    <font>
      <b/>
      <sz val="14"/>
      <color indexed="9"/>
      <name val="Arial Cyr"/>
      <family val="2"/>
    </font>
    <font>
      <sz val="14"/>
      <color indexed="9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4"/>
      <color indexed="9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Cyr"/>
      <family val="0"/>
    </font>
    <font>
      <b/>
      <sz val="12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name val="Times New Roman"/>
      <family val="1"/>
    </font>
    <font>
      <sz val="12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i/>
      <u val="single"/>
      <sz val="9"/>
      <name val="Arial"/>
      <family val="2"/>
    </font>
    <font>
      <b/>
      <sz val="9"/>
      <color indexed="55"/>
      <name val="Arial"/>
      <family val="2"/>
    </font>
    <font>
      <b/>
      <sz val="8"/>
      <color indexed="55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2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7" borderId="0" applyNumberFormat="0" applyBorder="0" applyAlignment="0" applyProtection="0"/>
    <xf numFmtId="0" fontId="100" fillId="10" borderId="0" applyNumberFormat="0" applyBorder="0" applyAlignment="0" applyProtection="0"/>
    <xf numFmtId="0" fontId="100" fillId="3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9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3" borderId="0" applyNumberFormat="0" applyBorder="0" applyAlignment="0" applyProtection="0"/>
    <xf numFmtId="0" fontId="101" fillId="11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2" fillId="19" borderId="1" applyNumberFormat="0" applyAlignment="0" applyProtection="0"/>
    <xf numFmtId="0" fontId="103" fillId="2" borderId="2" applyNumberFormat="0" applyAlignment="0" applyProtection="0"/>
    <xf numFmtId="0" fontId="104" fillId="2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90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20" borderId="7" applyNumberFormat="0" applyAlignment="0" applyProtection="0"/>
    <xf numFmtId="0" fontId="67" fillId="0" borderId="0" applyNumberFormat="0" applyFill="0" applyBorder="0" applyAlignment="0" applyProtection="0"/>
    <xf numFmtId="0" fontId="10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108" fillId="22" borderId="0" applyNumberFormat="0" applyBorder="0" applyAlignment="0" applyProtection="0"/>
    <xf numFmtId="0" fontId="10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2" fillId="24" borderId="0" applyNumberFormat="0" applyBorder="0" applyAlignment="0" applyProtection="0"/>
  </cellStyleXfs>
  <cellXfs count="11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4" fillId="0" borderId="0" xfId="53" applyFont="1" applyFill="1" applyAlignment="1">
      <alignment/>
      <protection/>
    </xf>
    <xf numFmtId="0" fontId="4" fillId="0" borderId="0" xfId="53" applyFont="1" applyFill="1" applyAlignment="1">
      <alignment horizontal="center"/>
      <protection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/>
    </xf>
    <xf numFmtId="1" fontId="13" fillId="2" borderId="16" xfId="0" applyNumberFormat="1" applyFont="1" applyFill="1" applyBorder="1" applyAlignment="1">
      <alignment horizontal="center" wrapText="1"/>
    </xf>
    <xf numFmtId="1" fontId="13" fillId="2" borderId="17" xfId="0" applyNumberFormat="1" applyFont="1" applyFill="1" applyBorder="1" applyAlignment="1">
      <alignment horizontal="center" wrapText="1"/>
    </xf>
    <xf numFmtId="0" fontId="13" fillId="2" borderId="18" xfId="0" applyFont="1" applyFill="1" applyBorder="1" applyAlignment="1">
      <alignment vertical="center" wrapText="1"/>
    </xf>
    <xf numFmtId="1" fontId="13" fillId="2" borderId="19" xfId="0" applyNumberFormat="1" applyFont="1" applyFill="1" applyBorder="1" applyAlignment="1">
      <alignment horizontal="center" wrapText="1"/>
    </xf>
    <xf numFmtId="1" fontId="13" fillId="2" borderId="20" xfId="0" applyNumberFormat="1" applyFont="1" applyFill="1" applyBorder="1" applyAlignment="1">
      <alignment horizontal="center" wrapText="1"/>
    </xf>
    <xf numFmtId="0" fontId="12" fillId="2" borderId="21" xfId="0" applyFont="1" applyFill="1" applyBorder="1" applyAlignment="1">
      <alignment vertical="center" wrapText="1"/>
    </xf>
    <xf numFmtId="1" fontId="12" fillId="2" borderId="22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10" fillId="0" borderId="0" xfId="0" applyFont="1" applyFill="1" applyAlignment="1">
      <alignment horizontal="center"/>
    </xf>
    <xf numFmtId="49" fontId="12" fillId="2" borderId="22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" fontId="16" fillId="0" borderId="0" xfId="0" applyNumberFormat="1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1" fontId="17" fillId="0" borderId="0" xfId="0" applyNumberFormat="1" applyFont="1" applyFill="1" applyAlignment="1">
      <alignment horizontal="center"/>
    </xf>
    <xf numFmtId="0" fontId="13" fillId="2" borderId="21" xfId="0" applyFont="1" applyFill="1" applyBorder="1" applyAlignment="1">
      <alignment vertical="center" wrapText="1"/>
    </xf>
    <xf numFmtId="1" fontId="13" fillId="2" borderId="22" xfId="0" applyNumberFormat="1" applyFont="1" applyFill="1" applyBorder="1" applyAlignment="1">
      <alignment horizontal="center" wrapText="1"/>
    </xf>
    <xf numFmtId="1" fontId="1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" fontId="13" fillId="2" borderId="1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12" fillId="0" borderId="21" xfId="0" applyFont="1" applyFill="1" applyBorder="1" applyAlignment="1">
      <alignment vertical="center" wrapText="1"/>
    </xf>
    <xf numFmtId="1" fontId="12" fillId="0" borderId="22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" fontId="12" fillId="2" borderId="23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54" applyFont="1" applyFill="1" applyBorder="1">
      <alignment/>
      <protection/>
    </xf>
    <xf numFmtId="3" fontId="21" fillId="0" borderId="0" xfId="0" applyNumberFormat="1" applyFont="1" applyAlignment="1">
      <alignment/>
    </xf>
    <xf numFmtId="0" fontId="20" fillId="0" borderId="0" xfId="55" applyFont="1" applyFill="1" applyBorder="1" applyAlignment="1">
      <alignment horizontal="right"/>
      <protection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16" fontId="24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21" fillId="0" borderId="0" xfId="53" applyFont="1" applyFill="1">
      <alignment/>
      <protection/>
    </xf>
    <xf numFmtId="0" fontId="21" fillId="0" borderId="0" xfId="53" applyFont="1" applyFill="1" applyAlignment="1">
      <alignment horizontal="center"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16" xfId="0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1" fillId="0" borderId="27" xfId="0" applyFont="1" applyFill="1" applyBorder="1" applyAlignment="1">
      <alignment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20" fillId="0" borderId="0" xfId="53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34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1" fillId="0" borderId="35" xfId="0" applyNumberFormat="1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1" fillId="0" borderId="35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21" fillId="0" borderId="35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horizontal="center" vertical="center" wrapText="1"/>
    </xf>
    <xf numFmtId="1" fontId="11" fillId="0" borderId="38" xfId="0" applyNumberFormat="1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53" applyFont="1" applyFill="1">
      <alignment/>
      <protection/>
    </xf>
    <xf numFmtId="0" fontId="21" fillId="0" borderId="0" xfId="53" applyFont="1" applyFill="1" applyAlignment="1">
      <alignment/>
      <protection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Fill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7" fillId="0" borderId="40" xfId="0" applyNumberFormat="1" applyFont="1" applyFill="1" applyBorder="1" applyAlignment="1">
      <alignment horizontal="center" wrapText="1"/>
    </xf>
    <xf numFmtId="0" fontId="17" fillId="0" borderId="41" xfId="0" applyFont="1" applyFill="1" applyBorder="1" applyAlignment="1">
      <alignment horizontal="center"/>
    </xf>
    <xf numFmtId="0" fontId="17" fillId="0" borderId="41" xfId="0" applyFont="1" applyFill="1" applyBorder="1" applyAlignment="1">
      <alignment/>
    </xf>
    <xf numFmtId="0" fontId="17" fillId="0" borderId="40" xfId="0" applyFont="1" applyFill="1" applyBorder="1" applyAlignment="1">
      <alignment/>
    </xf>
    <xf numFmtId="164" fontId="17" fillId="0" borderId="42" xfId="0" applyNumberFormat="1" applyFont="1" applyFill="1" applyBorder="1" applyAlignment="1">
      <alignment horizontal="center"/>
    </xf>
    <xf numFmtId="164" fontId="16" fillId="0" borderId="10" xfId="0" applyNumberFormat="1" applyFont="1" applyFill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/>
    </xf>
    <xf numFmtId="49" fontId="17" fillId="0" borderId="20" xfId="0" applyNumberFormat="1" applyFont="1" applyFill="1" applyBorder="1" applyAlignment="1">
      <alignment horizontal="center" wrapText="1"/>
    </xf>
    <xf numFmtId="164" fontId="17" fillId="0" borderId="43" xfId="0" applyNumberFormat="1" applyFont="1" applyFill="1" applyBorder="1" applyAlignment="1">
      <alignment horizontal="center"/>
    </xf>
    <xf numFmtId="164" fontId="17" fillId="0" borderId="2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164" fontId="10" fillId="0" borderId="42" xfId="0" applyNumberFormat="1" applyFont="1" applyFill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 wrapText="1"/>
    </xf>
    <xf numFmtId="164" fontId="17" fillId="25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7" fillId="0" borderId="10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9" fontId="16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" fontId="33" fillId="0" borderId="2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10" xfId="0" applyFont="1" applyBorder="1" applyAlignment="1">
      <alignment/>
    </xf>
    <xf numFmtId="16" fontId="34" fillId="0" borderId="20" xfId="0" applyNumberFormat="1" applyFont="1" applyBorder="1" applyAlignment="1">
      <alignment horizontal="center" wrapText="1"/>
    </xf>
    <xf numFmtId="0" fontId="0" fillId="0" borderId="41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6" fillId="0" borderId="41" xfId="0" applyFont="1" applyBorder="1" applyAlignment="1">
      <alignment/>
    </xf>
    <xf numFmtId="16" fontId="16" fillId="0" borderId="10" xfId="0" applyNumberFormat="1" applyFont="1" applyBorder="1" applyAlignment="1">
      <alignment horizontal="center"/>
    </xf>
    <xf numFmtId="49" fontId="16" fillId="0" borderId="42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42" xfId="0" applyFont="1" applyBorder="1" applyAlignment="1">
      <alignment horizontal="right"/>
    </xf>
    <xf numFmtId="1" fontId="16" fillId="0" borderId="42" xfId="0" applyNumberFormat="1" applyFont="1" applyBorder="1" applyAlignment="1">
      <alignment horizontal="right"/>
    </xf>
    <xf numFmtId="16" fontId="34" fillId="0" borderId="40" xfId="0" applyNumberFormat="1" applyFont="1" applyBorder="1" applyAlignment="1">
      <alignment horizontal="center" wrapText="1"/>
    </xf>
    <xf numFmtId="0" fontId="16" fillId="0" borderId="40" xfId="0" applyFont="1" applyBorder="1" applyAlignment="1">
      <alignment horizontal="right"/>
    </xf>
    <xf numFmtId="0" fontId="16" fillId="0" borderId="41" xfId="0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16" fontId="34" fillId="0" borderId="39" xfId="0" applyNumberFormat="1" applyFont="1" applyBorder="1" applyAlignment="1">
      <alignment horizontal="center" wrapText="1"/>
    </xf>
    <xf numFmtId="0" fontId="16" fillId="0" borderId="43" xfId="0" applyFont="1" applyBorder="1" applyAlignment="1">
      <alignment horizontal="right"/>
    </xf>
    <xf numFmtId="16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right"/>
    </xf>
    <xf numFmtId="16" fontId="34" fillId="0" borderId="10" xfId="0" applyNumberFormat="1" applyFont="1" applyBorder="1" applyAlignment="1">
      <alignment horizontal="center" wrapText="1"/>
    </xf>
    <xf numFmtId="16" fontId="16" fillId="0" borderId="42" xfId="0" applyNumberFormat="1" applyFont="1" applyBorder="1" applyAlignment="1">
      <alignment horizontal="right"/>
    </xf>
    <xf numFmtId="16" fontId="16" fillId="0" borderId="10" xfId="0" applyNumberFormat="1" applyFont="1" applyBorder="1" applyAlignment="1">
      <alignment horizontal="center" wrapText="1"/>
    </xf>
    <xf numFmtId="16" fontId="33" fillId="0" borderId="10" xfId="0" applyNumberFormat="1" applyFont="1" applyBorder="1" applyAlignment="1">
      <alignment horizontal="center" wrapText="1"/>
    </xf>
    <xf numFmtId="49" fontId="35" fillId="0" borderId="42" xfId="0" applyNumberFormat="1" applyFont="1" applyBorder="1" applyAlignment="1">
      <alignment horizontal="right"/>
    </xf>
    <xf numFmtId="16" fontId="17" fillId="0" borderId="20" xfId="0" applyNumberFormat="1" applyFont="1" applyBorder="1" applyAlignment="1">
      <alignment horizontal="center" wrapText="1"/>
    </xf>
    <xf numFmtId="16" fontId="16" fillId="0" borderId="43" xfId="0" applyNumberFormat="1" applyFont="1" applyBorder="1" applyAlignment="1">
      <alignment horizontal="right"/>
    </xf>
    <xf numFmtId="16" fontId="17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right"/>
    </xf>
    <xf numFmtId="16" fontId="16" fillId="0" borderId="44" xfId="0" applyNumberFormat="1" applyFont="1" applyBorder="1" applyAlignment="1">
      <alignment horizontal="center"/>
    </xf>
    <xf numFmtId="0" fontId="16" fillId="0" borderId="39" xfId="0" applyFont="1" applyBorder="1" applyAlignment="1">
      <alignment horizontal="right"/>
    </xf>
    <xf numFmtId="16" fontId="17" fillId="26" borderId="10" xfId="0" applyNumberFormat="1" applyFont="1" applyFill="1" applyBorder="1" applyAlignment="1">
      <alignment horizontal="center"/>
    </xf>
    <xf numFmtId="1" fontId="17" fillId="26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7" fillId="26" borderId="10" xfId="0" applyFont="1" applyFill="1" applyBorder="1" applyAlignment="1">
      <alignment vertical="center"/>
    </xf>
    <xf numFmtId="0" fontId="7" fillId="26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9" fontId="10" fillId="0" borderId="0" xfId="0" applyNumberFormat="1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right"/>
    </xf>
    <xf numFmtId="1" fontId="16" fillId="0" borderId="10" xfId="0" applyNumberFormat="1" applyFont="1" applyBorder="1" applyAlignment="1">
      <alignment horizontal="right"/>
    </xf>
    <xf numFmtId="16" fontId="7" fillId="26" borderId="10" xfId="0" applyNumberFormat="1" applyFont="1" applyFill="1" applyBorder="1" applyAlignment="1">
      <alignment horizontal="center"/>
    </xf>
    <xf numFmtId="1" fontId="36" fillId="0" borderId="0" xfId="0" applyNumberFormat="1" applyFont="1" applyAlignment="1">
      <alignment/>
    </xf>
    <xf numFmtId="0" fontId="36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6" fillId="0" borderId="10" xfId="0" applyNumberFormat="1" applyFont="1" applyBorder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7" fillId="0" borderId="42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1" fontId="17" fillId="0" borderId="42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45" xfId="0" applyFont="1" applyBorder="1" applyAlignment="1">
      <alignment/>
    </xf>
    <xf numFmtId="0" fontId="15" fillId="0" borderId="42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/>
    </xf>
    <xf numFmtId="164" fontId="10" fillId="0" borderId="42" xfId="0" applyNumberFormat="1" applyFont="1" applyBorder="1" applyAlignment="1">
      <alignment horizontal="center"/>
    </xf>
    <xf numFmtId="164" fontId="10" fillId="0" borderId="45" xfId="0" applyNumberFormat="1" applyFont="1" applyBorder="1" applyAlignment="1">
      <alignment horizontal="center"/>
    </xf>
    <xf numFmtId="164" fontId="17" fillId="0" borderId="42" xfId="0" applyNumberFormat="1" applyFont="1" applyFill="1" applyBorder="1" applyAlignment="1">
      <alignment horizontal="center" vertical="center" wrapText="1"/>
    </xf>
    <xf numFmtId="164" fontId="10" fillId="0" borderId="42" xfId="0" applyNumberFormat="1" applyFont="1" applyFill="1" applyBorder="1" applyAlignment="1">
      <alignment horizontal="center"/>
    </xf>
    <xf numFmtId="164" fontId="15" fillId="0" borderId="42" xfId="0" applyNumberFormat="1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7" fillId="26" borderId="10" xfId="0" applyFont="1" applyFill="1" applyBorder="1" applyAlignment="1">
      <alignment horizontal="center"/>
    </xf>
    <xf numFmtId="1" fontId="17" fillId="26" borderId="10" xfId="0" applyNumberFormat="1" applyFont="1" applyFill="1" applyBorder="1" applyAlignment="1">
      <alignment horizontal="center" vertical="center" wrapText="1"/>
    </xf>
    <xf numFmtId="164" fontId="17" fillId="26" borderId="1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/>
    </xf>
    <xf numFmtId="0" fontId="15" fillId="0" borderId="10" xfId="0" applyFont="1" applyFill="1" applyBorder="1" applyAlignment="1">
      <alignment horizontal="center"/>
    </xf>
    <xf numFmtId="1" fontId="17" fillId="0" borderId="43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46" xfId="0" applyNumberFormat="1" applyFont="1" applyFill="1" applyBorder="1" applyAlignment="1">
      <alignment horizontal="center" vertical="center"/>
    </xf>
    <xf numFmtId="164" fontId="10" fillId="0" borderId="46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64" fontId="15" fillId="0" borderId="18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0" fontId="15" fillId="26" borderId="10" xfId="0" applyFont="1" applyFill="1" applyBorder="1" applyAlignment="1">
      <alignment horizontal="center"/>
    </xf>
    <xf numFmtId="1" fontId="15" fillId="26" borderId="10" xfId="0" applyNumberFormat="1" applyFont="1" applyFill="1" applyBorder="1" applyAlignment="1">
      <alignment horizontal="center"/>
    </xf>
    <xf numFmtId="164" fontId="15" fillId="26" borderId="10" xfId="0" applyNumberFormat="1" applyFont="1" applyFill="1" applyBorder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39" xfId="0" applyBorder="1" applyAlignment="1">
      <alignment horizontal="center"/>
    </xf>
    <xf numFmtId="49" fontId="16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wrapText="1"/>
    </xf>
    <xf numFmtId="49" fontId="15" fillId="0" borderId="40" xfId="0" applyNumberFormat="1" applyFont="1" applyFill="1" applyBorder="1" applyAlignment="1">
      <alignment horizontal="center" wrapText="1"/>
    </xf>
    <xf numFmtId="1" fontId="15" fillId="0" borderId="10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/>
    </xf>
    <xf numFmtId="1" fontId="10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164" fontId="17" fillId="0" borderId="43" xfId="0" applyNumberFormat="1" applyFont="1" applyFill="1" applyBorder="1" applyAlignment="1">
      <alignment/>
    </xf>
    <xf numFmtId="164" fontId="17" fillId="0" borderId="2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164" fontId="17" fillId="0" borderId="42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164" fontId="10" fillId="0" borderId="42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164" fontId="15" fillId="0" borderId="10" xfId="0" applyNumberFormat="1" applyFont="1" applyFill="1" applyBorder="1" applyAlignment="1">
      <alignment wrapText="1"/>
    </xf>
    <xf numFmtId="0" fontId="15" fillId="0" borderId="0" xfId="0" applyFont="1" applyFill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center" vertical="center"/>
    </xf>
    <xf numFmtId="49" fontId="10" fillId="0" borderId="40" xfId="0" applyNumberFormat="1" applyFont="1" applyFill="1" applyBorder="1" applyAlignment="1">
      <alignment wrapText="1"/>
    </xf>
    <xf numFmtId="1" fontId="40" fillId="0" borderId="0" xfId="0" applyNumberFormat="1" applyFont="1" applyAlignment="1">
      <alignment/>
    </xf>
    <xf numFmtId="0" fontId="40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9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right"/>
    </xf>
    <xf numFmtId="49" fontId="37" fillId="0" borderId="10" xfId="0" applyNumberFormat="1" applyFont="1" applyFill="1" applyBorder="1" applyAlignment="1">
      <alignment wrapText="1"/>
    </xf>
    <xf numFmtId="164" fontId="41" fillId="0" borderId="10" xfId="0" applyNumberFormat="1" applyFont="1" applyFill="1" applyBorder="1" applyAlignment="1">
      <alignment/>
    </xf>
    <xf numFmtId="164" fontId="38" fillId="0" borderId="1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27" borderId="10" xfId="0" applyNumberFormat="1" applyFont="1" applyFill="1" applyBorder="1" applyAlignment="1">
      <alignment horizontal="center" wrapText="1"/>
    </xf>
    <xf numFmtId="49" fontId="15" fillId="27" borderId="10" xfId="0" applyNumberFormat="1" applyFont="1" applyFill="1" applyBorder="1" applyAlignment="1">
      <alignment horizontal="center" vertical="center" wrapText="1"/>
    </xf>
    <xf numFmtId="49" fontId="21" fillId="0" borderId="47" xfId="0" applyNumberFormat="1" applyFont="1" applyFill="1" applyBorder="1" applyAlignment="1">
      <alignment horizontal="center" vertical="center" wrapText="1"/>
    </xf>
    <xf numFmtId="16" fontId="15" fillId="27" borderId="10" xfId="0" applyNumberFormat="1" applyFont="1" applyFill="1" applyBorder="1" applyAlignment="1">
      <alignment horizontal="center"/>
    </xf>
    <xf numFmtId="0" fontId="17" fillId="27" borderId="10" xfId="0" applyFont="1" applyFill="1" applyBorder="1" applyAlignment="1">
      <alignment horizontal="center" vertical="center" wrapText="1"/>
    </xf>
    <xf numFmtId="49" fontId="17" fillId="27" borderId="10" xfId="0" applyNumberFormat="1" applyFont="1" applyFill="1" applyBorder="1" applyAlignment="1">
      <alignment horizontal="center" wrapText="1"/>
    </xf>
    <xf numFmtId="0" fontId="15" fillId="27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48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 wrapText="1"/>
    </xf>
    <xf numFmtId="165" fontId="9" fillId="0" borderId="0" xfId="0" applyNumberFormat="1" applyFont="1" applyFill="1" applyAlignment="1">
      <alignment/>
    </xf>
    <xf numFmtId="164" fontId="15" fillId="0" borderId="0" xfId="0" applyNumberFormat="1" applyFont="1" applyFill="1" applyAlignment="1">
      <alignment horizontal="right"/>
    </xf>
    <xf numFmtId="0" fontId="17" fillId="27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5" fillId="28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49" fontId="33" fillId="0" borderId="42" xfId="0" applyNumberFormat="1" applyFont="1" applyBorder="1" applyAlignment="1">
      <alignment horizontal="right"/>
    </xf>
    <xf numFmtId="0" fontId="17" fillId="0" borderId="10" xfId="0" applyFont="1" applyBorder="1" applyAlignment="1">
      <alignment/>
    </xf>
    <xf numFmtId="49" fontId="45" fillId="0" borderId="4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wrapText="1"/>
    </xf>
    <xf numFmtId="0" fontId="21" fillId="0" borderId="10" xfId="0" applyFont="1" applyFill="1" applyBorder="1" applyAlignment="1">
      <alignment wrapText="1"/>
    </xf>
    <xf numFmtId="49" fontId="13" fillId="0" borderId="49" xfId="0" applyNumberFormat="1" applyFont="1" applyFill="1" applyBorder="1" applyAlignment="1">
      <alignment horizontal="center" vertical="center" wrapText="1"/>
    </xf>
    <xf numFmtId="49" fontId="13" fillId="0" borderId="41" xfId="0" applyNumberFormat="1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49" fontId="13" fillId="0" borderId="42" xfId="0" applyNumberFormat="1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16" fontId="17" fillId="0" borderId="2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164" fontId="15" fillId="27" borderId="10" xfId="0" applyNumberFormat="1" applyFont="1" applyFill="1" applyBorder="1" applyAlignment="1">
      <alignment/>
    </xf>
    <xf numFmtId="164" fontId="17" fillId="27" borderId="10" xfId="0" applyNumberFormat="1" applyFont="1" applyFill="1" applyBorder="1" applyAlignment="1">
      <alignment/>
    </xf>
    <xf numFmtId="164" fontId="15" fillId="27" borderId="10" xfId="0" applyNumberFormat="1" applyFont="1" applyFill="1" applyBorder="1" applyAlignment="1">
      <alignment wrapText="1"/>
    </xf>
    <xf numFmtId="49" fontId="15" fillId="9" borderId="10" xfId="0" applyNumberFormat="1" applyFont="1" applyFill="1" applyBorder="1" applyAlignment="1">
      <alignment horizontal="center" wrapText="1"/>
    </xf>
    <xf numFmtId="164" fontId="15" fillId="9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49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49" fontId="50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49" fontId="39" fillId="27" borderId="10" xfId="0" applyNumberFormat="1" applyFont="1" applyFill="1" applyBorder="1" applyAlignment="1">
      <alignment horizontal="center" vertical="center" wrapText="1"/>
    </xf>
    <xf numFmtId="164" fontId="49" fillId="27" borderId="10" xfId="0" applyNumberFormat="1" applyFont="1" applyFill="1" applyBorder="1" applyAlignment="1">
      <alignment horizontal="center"/>
    </xf>
    <xf numFmtId="164" fontId="49" fillId="27" borderId="10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 wrapText="1"/>
    </xf>
    <xf numFmtId="164" fontId="49" fillId="0" borderId="10" xfId="0" applyNumberFormat="1" applyFont="1" applyFill="1" applyBorder="1" applyAlignment="1">
      <alignment horizontal="center"/>
    </xf>
    <xf numFmtId="164" fontId="49" fillId="0" borderId="39" xfId="0" applyNumberFormat="1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 horizontal="right"/>
    </xf>
    <xf numFmtId="164" fontId="50" fillId="0" borderId="10" xfId="0" applyNumberFormat="1" applyFont="1" applyFill="1" applyBorder="1" applyAlignment="1">
      <alignment horizontal="right"/>
    </xf>
    <xf numFmtId="164" fontId="50" fillId="0" borderId="21" xfId="0" applyNumberFormat="1" applyFont="1" applyFill="1" applyBorder="1" applyAlignment="1">
      <alignment horizontal="right"/>
    </xf>
    <xf numFmtId="164" fontId="39" fillId="0" borderId="0" xfId="0" applyNumberFormat="1" applyFont="1" applyFill="1" applyBorder="1" applyAlignment="1">
      <alignment horizontal="right"/>
    </xf>
    <xf numFmtId="49" fontId="50" fillId="0" borderId="10" xfId="0" applyNumberFormat="1" applyFont="1" applyFill="1" applyBorder="1" applyAlignment="1">
      <alignment horizontal="center" vertical="center" wrapText="1"/>
    </xf>
    <xf numFmtId="164" fontId="39" fillId="0" borderId="21" xfId="0" applyNumberFormat="1" applyFont="1" applyFill="1" applyBorder="1" applyAlignment="1">
      <alignment horizontal="right"/>
    </xf>
    <xf numFmtId="0" fontId="39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wrapText="1"/>
    </xf>
    <xf numFmtId="164" fontId="19" fillId="0" borderId="10" xfId="0" applyNumberFormat="1" applyFont="1" applyFill="1" applyBorder="1" applyAlignment="1">
      <alignment horizontal="center"/>
    </xf>
    <xf numFmtId="164" fontId="49" fillId="0" borderId="1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164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1" fontId="51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wrapText="1"/>
    </xf>
    <xf numFmtId="49" fontId="19" fillId="0" borderId="0" xfId="0" applyNumberFormat="1" applyFont="1" applyFill="1" applyAlignment="1">
      <alignment/>
    </xf>
    <xf numFmtId="164" fontId="10" fillId="29" borderId="10" xfId="0" applyNumberFormat="1" applyFont="1" applyFill="1" applyBorder="1" applyAlignment="1">
      <alignment/>
    </xf>
    <xf numFmtId="164" fontId="15" fillId="29" borderId="10" xfId="0" applyNumberFormat="1" applyFont="1" applyFill="1" applyBorder="1" applyAlignment="1">
      <alignment/>
    </xf>
    <xf numFmtId="164" fontId="15" fillId="29" borderId="10" xfId="0" applyNumberFormat="1" applyFont="1" applyFill="1" applyBorder="1" applyAlignment="1">
      <alignment wrapText="1"/>
    </xf>
    <xf numFmtId="164" fontId="16" fillId="29" borderId="10" xfId="0" applyNumberFormat="1" applyFont="1" applyFill="1" applyBorder="1" applyAlignment="1">
      <alignment/>
    </xf>
    <xf numFmtId="164" fontId="10" fillId="29" borderId="10" xfId="0" applyNumberFormat="1" applyFont="1" applyFill="1" applyBorder="1" applyAlignment="1">
      <alignment/>
    </xf>
    <xf numFmtId="164" fontId="15" fillId="0" borderId="0" xfId="0" applyNumberFormat="1" applyFont="1" applyFill="1" applyAlignment="1">
      <alignment/>
    </xf>
    <xf numFmtId="0" fontId="20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27" borderId="10" xfId="0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20" fillId="0" borderId="0" xfId="53" applyFont="1" applyFill="1" applyAlignment="1">
      <alignment/>
      <protection/>
    </xf>
    <xf numFmtId="0" fontId="20" fillId="0" borderId="0" xfId="53" applyFont="1" applyFill="1" applyAlignment="1">
      <alignment wrapText="1"/>
      <protection/>
    </xf>
    <xf numFmtId="0" fontId="22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0" fontId="20" fillId="0" borderId="3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51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46" xfId="0" applyFont="1" applyBorder="1" applyAlignment="1">
      <alignment/>
    </xf>
    <xf numFmtId="0" fontId="20" fillId="0" borderId="46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wrapText="1"/>
    </xf>
    <xf numFmtId="0" fontId="20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53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2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center"/>
    </xf>
    <xf numFmtId="0" fontId="53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horizontal="center" wrapText="1"/>
    </xf>
    <xf numFmtId="3" fontId="22" fillId="0" borderId="10" xfId="0" applyNumberFormat="1" applyFont="1" applyFill="1" applyBorder="1" applyAlignment="1">
      <alignment horizontal="center" wrapText="1"/>
    </xf>
    <xf numFmtId="3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29" borderId="10" xfId="0" applyFont="1" applyFill="1" applyBorder="1" applyAlignment="1">
      <alignment horizontal="center"/>
    </xf>
    <xf numFmtId="3" fontId="22" fillId="29" borderId="10" xfId="0" applyNumberFormat="1" applyFont="1" applyFill="1" applyBorder="1" applyAlignment="1">
      <alignment horizontal="center"/>
    </xf>
    <xf numFmtId="0" fontId="22" fillId="29" borderId="10" xfId="0" applyFont="1" applyFill="1" applyBorder="1" applyAlignment="1">
      <alignment wrapText="1"/>
    </xf>
    <xf numFmtId="165" fontId="22" fillId="29" borderId="10" xfId="0" applyNumberFormat="1" applyFont="1" applyFill="1" applyBorder="1" applyAlignment="1">
      <alignment horizontal="center" wrapText="1"/>
    </xf>
    <xf numFmtId="165" fontId="22" fillId="0" borderId="10" xfId="0" applyNumberFormat="1" applyFont="1" applyFill="1" applyBorder="1" applyAlignment="1">
      <alignment horizontal="center" wrapText="1"/>
    </xf>
    <xf numFmtId="164" fontId="20" fillId="0" borderId="10" xfId="0" applyNumberFormat="1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center" wrapText="1"/>
    </xf>
    <xf numFmtId="165" fontId="20" fillId="0" borderId="10" xfId="0" applyNumberFormat="1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Alignment="1">
      <alignment/>
    </xf>
    <xf numFmtId="0" fontId="20" fillId="0" borderId="0" xfId="0" applyFont="1" applyBorder="1" applyAlignment="1">
      <alignment horizontal="left"/>
    </xf>
    <xf numFmtId="165" fontId="20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165" fontId="22" fillId="29" borderId="10" xfId="0" applyNumberFormat="1" applyFont="1" applyFill="1" applyBorder="1" applyAlignment="1">
      <alignment horizontal="center"/>
    </xf>
    <xf numFmtId="3" fontId="20" fillId="29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64" fontId="10" fillId="27" borderId="10" xfId="0" applyNumberFormat="1" applyFont="1" applyFill="1" applyBorder="1" applyAlignment="1">
      <alignment/>
    </xf>
    <xf numFmtId="164" fontId="10" fillId="0" borderId="40" xfId="0" applyNumberFormat="1" applyFont="1" applyFill="1" applyBorder="1" applyAlignment="1">
      <alignment/>
    </xf>
    <xf numFmtId="164" fontId="1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17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10" fillId="0" borderId="0" xfId="0" applyNumberFormat="1" applyFont="1" applyFill="1" applyAlignment="1">
      <alignment/>
    </xf>
    <xf numFmtId="164" fontId="10" fillId="9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64" fontId="50" fillId="27" borderId="1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49" fontId="39" fillId="0" borderId="10" xfId="0" applyNumberFormat="1" applyFont="1" applyFill="1" applyBorder="1" applyAlignment="1">
      <alignment horizontal="left" vertical="center" wrapText="1"/>
    </xf>
    <xf numFmtId="165" fontId="22" fillId="0" borderId="0" xfId="0" applyNumberFormat="1" applyFont="1" applyAlignment="1">
      <alignment/>
    </xf>
    <xf numFmtId="0" fontId="20" fillId="0" borderId="0" xfId="53" applyFont="1" applyFill="1" applyAlignment="1">
      <alignment horizontal="left"/>
      <protection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164" fontId="10" fillId="2" borderId="10" xfId="0" applyNumberFormat="1" applyFont="1" applyFill="1" applyBorder="1" applyAlignment="1">
      <alignment/>
    </xf>
    <xf numFmtId="49" fontId="15" fillId="2" borderId="20" xfId="0" applyNumberFormat="1" applyFont="1" applyFill="1" applyBorder="1" applyAlignment="1">
      <alignment horizontal="center" wrapText="1"/>
    </xf>
    <xf numFmtId="164" fontId="15" fillId="2" borderId="43" xfId="0" applyNumberFormat="1" applyFont="1" applyFill="1" applyBorder="1" applyAlignment="1">
      <alignment/>
    </xf>
    <xf numFmtId="164" fontId="15" fillId="2" borderId="20" xfId="0" applyNumberFormat="1" applyFont="1" applyFill="1" applyBorder="1" applyAlignment="1">
      <alignment/>
    </xf>
    <xf numFmtId="1" fontId="15" fillId="2" borderId="0" xfId="0" applyNumberFormat="1" applyFont="1" applyFill="1" applyAlignment="1">
      <alignment/>
    </xf>
    <xf numFmtId="1" fontId="15" fillId="2" borderId="0" xfId="0" applyNumberFormat="1" applyFont="1" applyFill="1" applyAlignment="1">
      <alignment horizontal="center"/>
    </xf>
    <xf numFmtId="1" fontId="17" fillId="2" borderId="0" xfId="0" applyNumberFormat="1" applyFont="1" applyFill="1" applyAlignment="1">
      <alignment horizontal="center"/>
    </xf>
    <xf numFmtId="49" fontId="10" fillId="2" borderId="20" xfId="0" applyNumberFormat="1" applyFont="1" applyFill="1" applyBorder="1" applyAlignment="1">
      <alignment horizontal="center" wrapText="1"/>
    </xf>
    <xf numFmtId="164" fontId="15" fillId="2" borderId="10" xfId="0" applyNumberFormat="1" applyFont="1" applyFill="1" applyBorder="1" applyAlignment="1">
      <alignment/>
    </xf>
    <xf numFmtId="1" fontId="17" fillId="0" borderId="10" xfId="0" applyNumberFormat="1" applyFont="1" applyFill="1" applyBorder="1" applyAlignment="1">
      <alignment/>
    </xf>
    <xf numFmtId="49" fontId="59" fillId="27" borderId="20" xfId="0" applyNumberFormat="1" applyFont="1" applyFill="1" applyBorder="1" applyAlignment="1">
      <alignment horizontal="center" wrapText="1"/>
    </xf>
    <xf numFmtId="164" fontId="59" fillId="27" borderId="43" xfId="0" applyNumberFormat="1" applyFont="1" applyFill="1" applyBorder="1" applyAlignment="1">
      <alignment/>
    </xf>
    <xf numFmtId="164" fontId="59" fillId="27" borderId="20" xfId="0" applyNumberFormat="1" applyFont="1" applyFill="1" applyBorder="1" applyAlignment="1">
      <alignment/>
    </xf>
    <xf numFmtId="164" fontId="59" fillId="27" borderId="10" xfId="0" applyNumberFormat="1" applyFont="1" applyFill="1" applyBorder="1" applyAlignment="1">
      <alignment/>
    </xf>
    <xf numFmtId="1" fontId="59" fillId="27" borderId="0" xfId="0" applyNumberFormat="1" applyFont="1" applyFill="1" applyAlignment="1">
      <alignment/>
    </xf>
    <xf numFmtId="1" fontId="59" fillId="27" borderId="0" xfId="0" applyNumberFormat="1" applyFont="1" applyFill="1" applyAlignment="1">
      <alignment horizontal="center"/>
    </xf>
    <xf numFmtId="1" fontId="61" fillId="27" borderId="0" xfId="0" applyNumberFormat="1" applyFont="1" applyFill="1" applyAlignment="1">
      <alignment horizontal="center"/>
    </xf>
    <xf numFmtId="164" fontId="15" fillId="2" borderId="10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0" fontId="0" fillId="0" borderId="20" xfId="0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49" fontId="46" fillId="2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164" fontId="17" fillId="25" borderId="10" xfId="0" applyNumberFormat="1" applyFont="1" applyFill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/>
    </xf>
    <xf numFmtId="0" fontId="21" fillId="2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2" borderId="0" xfId="0" applyFont="1" applyFill="1" applyAlignment="1">
      <alignment/>
    </xf>
    <xf numFmtId="0" fontId="2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20" fillId="0" borderId="27" xfId="0" applyFont="1" applyFill="1" applyBorder="1" applyAlignment="1">
      <alignment vertical="center" wrapText="1"/>
    </xf>
    <xf numFmtId="0" fontId="21" fillId="0" borderId="40" xfId="0" applyFont="1" applyBorder="1" applyAlignment="1">
      <alignment horizontal="center" wrapText="1"/>
    </xf>
    <xf numFmtId="0" fontId="21" fillId="0" borderId="2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wrapText="1"/>
    </xf>
    <xf numFmtId="177" fontId="10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5" fillId="27" borderId="10" xfId="0" applyNumberFormat="1" applyFont="1" applyFill="1" applyBorder="1" applyAlignment="1">
      <alignment/>
    </xf>
    <xf numFmtId="177" fontId="10" fillId="27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 wrapText="1"/>
    </xf>
    <xf numFmtId="177" fontId="15" fillId="9" borderId="10" xfId="0" applyNumberFormat="1" applyFont="1" applyFill="1" applyBorder="1" applyAlignment="1">
      <alignment/>
    </xf>
    <xf numFmtId="177" fontId="10" fillId="0" borderId="0" xfId="0" applyNumberFormat="1" applyFont="1" applyFill="1" applyAlignment="1">
      <alignment horizontal="right"/>
    </xf>
    <xf numFmtId="177" fontId="10" fillId="0" borderId="0" xfId="0" applyNumberFormat="1" applyFont="1" applyFill="1" applyAlignment="1">
      <alignment/>
    </xf>
    <xf numFmtId="177" fontId="15" fillId="0" borderId="0" xfId="0" applyNumberFormat="1" applyFont="1" applyFill="1" applyAlignment="1">
      <alignment/>
    </xf>
    <xf numFmtId="0" fontId="15" fillId="2" borderId="10" xfId="0" applyFont="1" applyFill="1" applyBorder="1" applyAlignment="1">
      <alignment horizontal="center"/>
    </xf>
    <xf numFmtId="177" fontId="15" fillId="2" borderId="10" xfId="0" applyNumberFormat="1" applyFont="1" applyFill="1" applyBorder="1" applyAlignment="1">
      <alignment/>
    </xf>
    <xf numFmtId="0" fontId="15" fillId="2" borderId="0" xfId="0" applyFont="1" applyFill="1" applyAlignment="1">
      <alignment horizontal="center"/>
    </xf>
    <xf numFmtId="49" fontId="15" fillId="2" borderId="10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177" fontId="10" fillId="2" borderId="10" xfId="0" applyNumberFormat="1" applyFont="1" applyFill="1" applyBorder="1" applyAlignment="1">
      <alignment/>
    </xf>
    <xf numFmtId="177" fontId="15" fillId="2" borderId="10" xfId="0" applyNumberFormat="1" applyFont="1" applyFill="1" applyBorder="1" applyAlignment="1">
      <alignment wrapText="1"/>
    </xf>
    <xf numFmtId="177" fontId="12" fillId="2" borderId="10" xfId="0" applyNumberFormat="1" applyFont="1" applyFill="1" applyBorder="1" applyAlignment="1">
      <alignment horizontal="center" wrapText="1"/>
    </xf>
    <xf numFmtId="177" fontId="13" fillId="2" borderId="10" xfId="0" applyNumberFormat="1" applyFont="1" applyFill="1" applyBorder="1" applyAlignment="1">
      <alignment horizontal="center" wrapText="1"/>
    </xf>
    <xf numFmtId="177" fontId="13" fillId="2" borderId="24" xfId="0" applyNumberFormat="1" applyFont="1" applyFill="1" applyBorder="1" applyAlignment="1">
      <alignment horizontal="center" wrapText="1"/>
    </xf>
    <xf numFmtId="177" fontId="13" fillId="2" borderId="20" xfId="0" applyNumberFormat="1" applyFont="1" applyFill="1" applyBorder="1" applyAlignment="1">
      <alignment horizontal="center" wrapText="1"/>
    </xf>
    <xf numFmtId="177" fontId="8" fillId="0" borderId="10" xfId="0" applyNumberFormat="1" applyFont="1" applyBorder="1" applyAlignment="1">
      <alignment horizontal="center"/>
    </xf>
    <xf numFmtId="177" fontId="12" fillId="0" borderId="10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/>
    </xf>
    <xf numFmtId="177" fontId="12" fillId="0" borderId="10" xfId="0" applyNumberFormat="1" applyFont="1" applyFill="1" applyBorder="1" applyAlignment="1">
      <alignment horizontal="center" wrapText="1"/>
    </xf>
    <xf numFmtId="177" fontId="12" fillId="0" borderId="10" xfId="0" applyNumberFormat="1" applyFont="1" applyFill="1" applyBorder="1" applyAlignment="1">
      <alignment horizontal="center"/>
    </xf>
    <xf numFmtId="178" fontId="11" fillId="0" borderId="10" xfId="0" applyNumberFormat="1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horizontal="right" vertical="center" wrapText="1"/>
    </xf>
    <xf numFmtId="178" fontId="12" fillId="0" borderId="10" xfId="0" applyNumberFormat="1" applyFont="1" applyFill="1" applyBorder="1" applyAlignment="1">
      <alignment vertical="center"/>
    </xf>
    <xf numFmtId="178" fontId="13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" fontId="62" fillId="2" borderId="42" xfId="0" applyNumberFormat="1" applyFont="1" applyFill="1" applyBorder="1" applyAlignment="1">
      <alignment horizontal="center"/>
    </xf>
    <xf numFmtId="164" fontId="62" fillId="2" borderId="42" xfId="0" applyNumberFormat="1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1" fontId="15" fillId="2" borderId="42" xfId="0" applyNumberFormat="1" applyFont="1" applyFill="1" applyBorder="1" applyAlignment="1">
      <alignment horizontal="center"/>
    </xf>
    <xf numFmtId="164" fontId="15" fillId="2" borderId="42" xfId="0" applyNumberFormat="1" applyFont="1" applyFill="1" applyBorder="1" applyAlignment="1">
      <alignment horizontal="center"/>
    </xf>
    <xf numFmtId="177" fontId="35" fillId="0" borderId="42" xfId="0" applyNumberFormat="1" applyFont="1" applyBorder="1" applyAlignment="1">
      <alignment horizontal="right"/>
    </xf>
    <xf numFmtId="177" fontId="33" fillId="0" borderId="42" xfId="0" applyNumberFormat="1" applyFont="1" applyBorder="1" applyAlignment="1">
      <alignment horizontal="right"/>
    </xf>
    <xf numFmtId="177" fontId="16" fillId="0" borderId="10" xfId="0" applyNumberFormat="1" applyFont="1" applyBorder="1" applyAlignment="1">
      <alignment horizontal="right"/>
    </xf>
    <xf numFmtId="177" fontId="16" fillId="0" borderId="42" xfId="0" applyNumberFormat="1" applyFont="1" applyBorder="1" applyAlignment="1">
      <alignment horizontal="right"/>
    </xf>
    <xf numFmtId="177" fontId="39" fillId="0" borderId="10" xfId="0" applyNumberFormat="1" applyFont="1" applyFill="1" applyBorder="1" applyAlignment="1">
      <alignment horizontal="right"/>
    </xf>
    <xf numFmtId="177" fontId="39" fillId="0" borderId="10" xfId="0" applyNumberFormat="1" applyFont="1" applyFill="1" applyBorder="1" applyAlignment="1">
      <alignment horizontal="center"/>
    </xf>
    <xf numFmtId="177" fontId="50" fillId="0" borderId="10" xfId="0" applyNumberFormat="1" applyFont="1" applyFill="1" applyBorder="1" applyAlignment="1">
      <alignment horizontal="center"/>
    </xf>
    <xf numFmtId="177" fontId="49" fillId="0" borderId="10" xfId="0" applyNumberFormat="1" applyFont="1" applyFill="1" applyBorder="1" applyAlignment="1">
      <alignment horizontal="center"/>
    </xf>
    <xf numFmtId="177" fontId="49" fillId="0" borderId="10" xfId="0" applyNumberFormat="1" applyFont="1" applyFill="1" applyBorder="1" applyAlignment="1">
      <alignment horizontal="center"/>
    </xf>
    <xf numFmtId="177" fontId="19" fillId="0" borderId="10" xfId="0" applyNumberFormat="1" applyFont="1" applyFill="1" applyBorder="1" applyAlignment="1">
      <alignment horizontal="center"/>
    </xf>
    <xf numFmtId="177" fontId="19" fillId="0" borderId="10" xfId="0" applyNumberFormat="1" applyFont="1" applyFill="1" applyBorder="1" applyAlignment="1">
      <alignment horizontal="center"/>
    </xf>
    <xf numFmtId="177" fontId="19" fillId="0" borderId="0" xfId="0" applyNumberFormat="1" applyFont="1" applyFill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/>
    </xf>
    <xf numFmtId="177" fontId="16" fillId="27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 horizontal="center" vertical="center"/>
    </xf>
    <xf numFmtId="177" fontId="10" fillId="0" borderId="46" xfId="0" applyNumberFormat="1" applyFont="1" applyFill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0" fillId="0" borderId="20" xfId="0" applyNumberFormat="1" applyFont="1" applyFill="1" applyBorder="1" applyAlignment="1">
      <alignment horizontal="center" vertical="center"/>
    </xf>
    <xf numFmtId="177" fontId="17" fillId="0" borderId="42" xfId="0" applyNumberFormat="1" applyFont="1" applyFill="1" applyBorder="1" applyAlignment="1">
      <alignment horizontal="center" vertical="center" wrapText="1"/>
    </xf>
    <xf numFmtId="177" fontId="15" fillId="0" borderId="18" xfId="0" applyNumberFormat="1" applyFont="1" applyFill="1" applyBorder="1" applyAlignment="1">
      <alignment horizontal="center" vertical="center"/>
    </xf>
    <xf numFmtId="177" fontId="10" fillId="0" borderId="18" xfId="0" applyNumberFormat="1" applyFont="1" applyFill="1" applyBorder="1" applyAlignment="1">
      <alignment horizontal="center" vertical="center"/>
    </xf>
    <xf numFmtId="177" fontId="15" fillId="26" borderId="10" xfId="0" applyNumberFormat="1" applyFont="1" applyFill="1" applyBorder="1" applyAlignment="1">
      <alignment horizontal="center"/>
    </xf>
    <xf numFmtId="177" fontId="17" fillId="26" borderId="10" xfId="0" applyNumberFormat="1" applyFont="1" applyFill="1" applyBorder="1" applyAlignment="1">
      <alignment horizontal="center" vertical="center" wrapText="1"/>
    </xf>
    <xf numFmtId="178" fontId="11" fillId="0" borderId="31" xfId="0" applyNumberFormat="1" applyFont="1" applyFill="1" applyBorder="1" applyAlignment="1">
      <alignment horizontal="right" vertical="center" wrapText="1"/>
    </xf>
    <xf numFmtId="178" fontId="21" fillId="0" borderId="20" xfId="0" applyNumberFormat="1" applyFont="1" applyFill="1" applyBorder="1" applyAlignment="1">
      <alignment horizontal="right" vertical="center" wrapText="1"/>
    </xf>
    <xf numFmtId="178" fontId="21" fillId="0" borderId="0" xfId="0" applyNumberFormat="1" applyFont="1" applyFill="1" applyAlignment="1">
      <alignment/>
    </xf>
    <xf numFmtId="178" fontId="11" fillId="0" borderId="35" xfId="0" applyNumberFormat="1" applyFont="1" applyFill="1" applyBorder="1" applyAlignment="1">
      <alignment horizontal="right" vertical="center" wrapText="1"/>
    </xf>
    <xf numFmtId="178" fontId="21" fillId="0" borderId="18" xfId="0" applyNumberFormat="1" applyFont="1" applyFill="1" applyBorder="1" applyAlignment="1">
      <alignment horizontal="right" vertical="center" wrapText="1"/>
    </xf>
    <xf numFmtId="178" fontId="21" fillId="0" borderId="10" xfId="0" applyNumberFormat="1" applyFont="1" applyFill="1" applyBorder="1" applyAlignment="1">
      <alignment horizontal="right" vertical="center" wrapText="1"/>
    </xf>
    <xf numFmtId="178" fontId="21" fillId="0" borderId="21" xfId="0" applyNumberFormat="1" applyFont="1" applyFill="1" applyBorder="1" applyAlignment="1">
      <alignment horizontal="right" vertical="center" wrapText="1"/>
    </xf>
    <xf numFmtId="178" fontId="21" fillId="0" borderId="39" xfId="0" applyNumberFormat="1" applyFont="1" applyFill="1" applyBorder="1" applyAlignment="1">
      <alignment horizontal="right" vertical="center" wrapText="1"/>
    </xf>
    <xf numFmtId="178" fontId="21" fillId="0" borderId="51" xfId="0" applyNumberFormat="1" applyFont="1" applyFill="1" applyBorder="1" applyAlignment="1">
      <alignment horizontal="right" vertical="center" wrapText="1"/>
    </xf>
    <xf numFmtId="178" fontId="11" fillId="0" borderId="53" xfId="0" applyNumberFormat="1" applyFont="1" applyFill="1" applyBorder="1" applyAlignment="1">
      <alignment horizontal="right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wrapText="1"/>
    </xf>
    <xf numFmtId="164" fontId="16" fillId="0" borderId="10" xfId="0" applyNumberFormat="1" applyFont="1" applyBorder="1" applyAlignment="1">
      <alignment horizontal="right"/>
    </xf>
    <xf numFmtId="164" fontId="17" fillId="26" borderId="10" xfId="0" applyNumberFormat="1" applyFont="1" applyFill="1" applyBorder="1" applyAlignment="1">
      <alignment horizontal="right"/>
    </xf>
    <xf numFmtId="171" fontId="16" fillId="0" borderId="10" xfId="63" applyNumberFormat="1" applyFont="1" applyBorder="1" applyAlignment="1">
      <alignment horizontal="right"/>
    </xf>
    <xf numFmtId="171" fontId="17" fillId="26" borderId="10" xfId="63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left" wrapText="1"/>
    </xf>
    <xf numFmtId="177" fontId="17" fillId="0" borderId="10" xfId="0" applyNumberFormat="1" applyFont="1" applyFill="1" applyBorder="1" applyAlignment="1">
      <alignment horizontal="right"/>
    </xf>
    <xf numFmtId="1" fontId="3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wrapText="1"/>
    </xf>
    <xf numFmtId="177" fontId="11" fillId="0" borderId="35" xfId="0" applyNumberFormat="1" applyFont="1" applyFill="1" applyBorder="1" applyAlignment="1">
      <alignment horizontal="center" vertical="center" wrapText="1"/>
    </xf>
    <xf numFmtId="177" fontId="11" fillId="0" borderId="31" xfId="0" applyNumberFormat="1" applyFont="1" applyFill="1" applyBorder="1" applyAlignment="1">
      <alignment horizontal="center" vertical="center" wrapText="1"/>
    </xf>
    <xf numFmtId="164" fontId="16" fillId="0" borderId="20" xfId="0" applyNumberFormat="1" applyFont="1" applyBorder="1" applyAlignment="1">
      <alignment horizontal="right"/>
    </xf>
    <xf numFmtId="164" fontId="16" fillId="0" borderId="43" xfId="0" applyNumberFormat="1" applyFont="1" applyBorder="1" applyAlignment="1">
      <alignment horizontal="right"/>
    </xf>
    <xf numFmtId="164" fontId="16" fillId="0" borderId="42" xfId="0" applyNumberFormat="1" applyFont="1" applyBorder="1" applyAlignment="1">
      <alignment horizontal="right"/>
    </xf>
    <xf numFmtId="164" fontId="17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 horizontal="right"/>
    </xf>
    <xf numFmtId="164" fontId="16" fillId="0" borderId="39" xfId="0" applyNumberFormat="1" applyFont="1" applyBorder="1" applyAlignment="1">
      <alignment horizontal="right"/>
    </xf>
    <xf numFmtId="164" fontId="16" fillId="0" borderId="42" xfId="43" applyNumberFormat="1" applyFont="1" applyBorder="1" applyAlignment="1">
      <alignment horizontal="right"/>
    </xf>
    <xf numFmtId="164" fontId="16" fillId="0" borderId="42" xfId="0" applyNumberFormat="1" applyFont="1" applyBorder="1" applyAlignment="1">
      <alignment horizontal="right"/>
    </xf>
    <xf numFmtId="164" fontId="16" fillId="0" borderId="42" xfId="63" applyNumberFormat="1" applyFont="1" applyBorder="1" applyAlignment="1">
      <alignment horizontal="right"/>
    </xf>
    <xf numFmtId="164" fontId="17" fillId="0" borderId="42" xfId="60" applyNumberFormat="1" applyFont="1" applyBorder="1" applyAlignment="1">
      <alignment horizontal="right"/>
    </xf>
    <xf numFmtId="164" fontId="17" fillId="0" borderId="42" xfId="0" applyNumberFormat="1" applyFont="1" applyBorder="1" applyAlignment="1">
      <alignment horizontal="right"/>
    </xf>
    <xf numFmtId="164" fontId="17" fillId="0" borderId="42" xfId="43" applyNumberFormat="1" applyFont="1" applyBorder="1" applyAlignment="1">
      <alignment horizontal="right"/>
    </xf>
    <xf numFmtId="164" fontId="39" fillId="0" borderId="20" xfId="0" applyNumberFormat="1" applyFont="1" applyFill="1" applyBorder="1" applyAlignment="1">
      <alignment horizontal="center"/>
    </xf>
    <xf numFmtId="164" fontId="50" fillId="0" borderId="20" xfId="0" applyNumberFormat="1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 horizontal="center"/>
    </xf>
    <xf numFmtId="0" fontId="15" fillId="26" borderId="10" xfId="0" applyFont="1" applyFill="1" applyBorder="1" applyAlignment="1">
      <alignment horizontal="center" vertical="center"/>
    </xf>
    <xf numFmtId="1" fontId="17" fillId="26" borderId="42" xfId="0" applyNumberFormat="1" applyFont="1" applyFill="1" applyBorder="1" applyAlignment="1">
      <alignment horizontal="center" vertical="center" wrapText="1"/>
    </xf>
    <xf numFmtId="164" fontId="17" fillId="26" borderId="42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/>
    </xf>
    <xf numFmtId="49" fontId="17" fillId="27" borderId="0" xfId="0" applyNumberFormat="1" applyFont="1" applyFill="1" applyAlignment="1">
      <alignment horizontal="center" wrapText="1"/>
    </xf>
    <xf numFmtId="0" fontId="20" fillId="2" borderId="0" xfId="0" applyFont="1" applyFill="1" applyAlignment="1">
      <alignment horizontal="left"/>
    </xf>
    <xf numFmtId="0" fontId="4" fillId="2" borderId="54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wrapText="1"/>
    </xf>
    <xf numFmtId="0" fontId="15" fillId="27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26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0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4" fillId="0" borderId="32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0" fontId="15" fillId="26" borderId="10" xfId="0" applyFont="1" applyFill="1" applyBorder="1" applyAlignment="1">
      <alignment horizontal="center"/>
    </xf>
    <xf numFmtId="1" fontId="15" fillId="26" borderId="42" xfId="0" applyNumberFormat="1" applyFont="1" applyFill="1" applyBorder="1" applyAlignment="1">
      <alignment horizontal="center"/>
    </xf>
    <xf numFmtId="164" fontId="15" fillId="26" borderId="42" xfId="0" applyNumberFormat="1" applyFont="1" applyFill="1" applyBorder="1" applyAlignment="1">
      <alignment horizontal="center"/>
    </xf>
    <xf numFmtId="177" fontId="21" fillId="0" borderId="10" xfId="0" applyNumberFormat="1" applyFont="1" applyFill="1" applyBorder="1" applyAlignment="1">
      <alignment horizontal="center" vertical="center" wrapText="1"/>
    </xf>
    <xf numFmtId="177" fontId="21" fillId="0" borderId="35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9" fillId="26" borderId="10" xfId="0" applyNumberFormat="1" applyFont="1" applyFill="1" applyBorder="1" applyAlignment="1">
      <alignment horizontal="center" wrapText="1"/>
    </xf>
    <xf numFmtId="1" fontId="15" fillId="25" borderId="0" xfId="0" applyNumberFormat="1" applyFont="1" applyFill="1" applyAlignment="1">
      <alignment/>
    </xf>
    <xf numFmtId="1" fontId="17" fillId="25" borderId="0" xfId="0" applyNumberFormat="1" applyFont="1" applyFill="1" applyAlignment="1">
      <alignment horizontal="center"/>
    </xf>
    <xf numFmtId="164" fontId="15" fillId="2" borderId="10" xfId="0" applyNumberFormat="1" applyFont="1" applyFill="1" applyBorder="1" applyAlignment="1">
      <alignment/>
    </xf>
    <xf numFmtId="179" fontId="15" fillId="0" borderId="10" xfId="0" applyNumberFormat="1" applyFont="1" applyFill="1" applyBorder="1" applyAlignment="1">
      <alignment/>
    </xf>
    <xf numFmtId="2" fontId="10" fillId="27" borderId="10" xfId="0" applyNumberFormat="1" applyFont="1" applyFill="1" applyBorder="1" applyAlignment="1">
      <alignment/>
    </xf>
    <xf numFmtId="179" fontId="10" fillId="27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179" fontId="10" fillId="0" borderId="10" xfId="0" applyNumberFormat="1" applyFont="1" applyFill="1" applyBorder="1" applyAlignment="1">
      <alignment/>
    </xf>
    <xf numFmtId="2" fontId="15" fillId="27" borderId="10" xfId="0" applyNumberFormat="1" applyFont="1" applyFill="1" applyBorder="1" applyAlignment="1">
      <alignment/>
    </xf>
    <xf numFmtId="2" fontId="15" fillId="9" borderId="10" xfId="0" applyNumberFormat="1" applyFont="1" applyFill="1" applyBorder="1" applyAlignment="1">
      <alignment/>
    </xf>
    <xf numFmtId="171" fontId="15" fillId="2" borderId="10" xfId="63" applyNumberFormat="1" applyFont="1" applyFill="1" applyBorder="1" applyAlignment="1">
      <alignment/>
    </xf>
    <xf numFmtId="171" fontId="15" fillId="27" borderId="10" xfId="63" applyNumberFormat="1" applyFont="1" applyFill="1" applyBorder="1" applyAlignment="1">
      <alignment/>
    </xf>
    <xf numFmtId="171" fontId="15" fillId="0" borderId="10" xfId="63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179" fontId="12" fillId="2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78" fontId="13" fillId="0" borderId="31" xfId="0" applyNumberFormat="1" applyFont="1" applyFill="1" applyBorder="1" applyAlignment="1">
      <alignment vertical="center" wrapText="1"/>
    </xf>
    <xf numFmtId="178" fontId="13" fillId="0" borderId="10" xfId="0" applyNumberFormat="1" applyFont="1" applyFill="1" applyBorder="1" applyAlignment="1">
      <alignment vertical="center" wrapText="1"/>
    </xf>
    <xf numFmtId="178" fontId="12" fillId="0" borderId="10" xfId="0" applyNumberFormat="1" applyFont="1" applyFill="1" applyBorder="1" applyAlignment="1">
      <alignment vertical="center" wrapText="1"/>
    </xf>
    <xf numFmtId="178" fontId="13" fillId="0" borderId="39" xfId="0" applyNumberFormat="1" applyFont="1" applyFill="1" applyBorder="1" applyAlignment="1">
      <alignment vertical="center" wrapText="1"/>
    </xf>
    <xf numFmtId="178" fontId="13" fillId="0" borderId="51" xfId="0" applyNumberFormat="1" applyFont="1" applyFill="1" applyBorder="1" applyAlignment="1">
      <alignment vertical="center" wrapText="1"/>
    </xf>
    <xf numFmtId="178" fontId="12" fillId="0" borderId="21" xfId="0" applyNumberFormat="1" applyFont="1" applyFill="1" applyBorder="1" applyAlignment="1">
      <alignment vertical="center" wrapText="1"/>
    </xf>
    <xf numFmtId="178" fontId="13" fillId="0" borderId="21" xfId="0" applyNumberFormat="1" applyFont="1" applyFill="1" applyBorder="1" applyAlignment="1">
      <alignment vertical="center" wrapText="1"/>
    </xf>
    <xf numFmtId="165" fontId="13" fillId="0" borderId="10" xfId="0" applyNumberFormat="1" applyFont="1" applyFill="1" applyBorder="1" applyAlignment="1">
      <alignment vertical="center" wrapText="1"/>
    </xf>
    <xf numFmtId="178" fontId="0" fillId="0" borderId="10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178" fontId="21" fillId="0" borderId="10" xfId="0" applyNumberFormat="1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178" fontId="12" fillId="0" borderId="10" xfId="0" applyNumberFormat="1" applyFont="1" applyFill="1" applyBorder="1" applyAlignment="1">
      <alignment/>
    </xf>
    <xf numFmtId="178" fontId="8" fillId="0" borderId="21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178" fontId="9" fillId="0" borderId="10" xfId="0" applyNumberFormat="1" applyFont="1" applyFill="1" applyBorder="1" applyAlignment="1">
      <alignment/>
    </xf>
    <xf numFmtId="165" fontId="13" fillId="0" borderId="21" xfId="0" applyNumberFormat="1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 wrapText="1"/>
    </xf>
    <xf numFmtId="165" fontId="12" fillId="0" borderId="21" xfId="0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/>
    </xf>
    <xf numFmtId="165" fontId="13" fillId="0" borderId="40" xfId="0" applyNumberFormat="1" applyFont="1" applyFill="1" applyBorder="1" applyAlignment="1">
      <alignment vertical="center" wrapText="1"/>
    </xf>
    <xf numFmtId="165" fontId="13" fillId="0" borderId="44" xfId="0" applyNumberFormat="1" applyFont="1" applyFill="1" applyBorder="1" applyAlignment="1">
      <alignment vertical="center" wrapText="1"/>
    </xf>
    <xf numFmtId="165" fontId="12" fillId="0" borderId="39" xfId="0" applyNumberFormat="1" applyFont="1" applyFill="1" applyBorder="1" applyAlignment="1">
      <alignment vertical="center" wrapText="1"/>
    </xf>
    <xf numFmtId="165" fontId="12" fillId="0" borderId="51" xfId="0" applyNumberFormat="1" applyFont="1" applyFill="1" applyBorder="1" applyAlignment="1">
      <alignment vertical="center" wrapText="1"/>
    </xf>
    <xf numFmtId="0" fontId="0" fillId="26" borderId="0" xfId="0" applyFill="1" applyAlignment="1">
      <alignment/>
    </xf>
    <xf numFmtId="49" fontId="49" fillId="26" borderId="10" xfId="0" applyNumberFormat="1" applyFont="1" applyFill="1" applyBorder="1" applyAlignment="1">
      <alignment horizontal="center" vertical="center" wrapText="1"/>
    </xf>
    <xf numFmtId="164" fontId="49" fillId="26" borderId="10" xfId="0" applyNumberFormat="1" applyFont="1" applyFill="1" applyBorder="1" applyAlignment="1">
      <alignment horizontal="center" vertical="center"/>
    </xf>
    <xf numFmtId="177" fontId="49" fillId="26" borderId="10" xfId="0" applyNumberFormat="1" applyFont="1" applyFill="1" applyBorder="1" applyAlignment="1">
      <alignment horizontal="center" vertical="center"/>
    </xf>
    <xf numFmtId="0" fontId="19" fillId="26" borderId="0" xfId="0" applyFont="1" applyFill="1" applyAlignment="1">
      <alignment horizontal="center" vertical="center"/>
    </xf>
    <xf numFmtId="49" fontId="39" fillId="26" borderId="10" xfId="0" applyNumberFormat="1" applyFont="1" applyFill="1" applyBorder="1" applyAlignment="1">
      <alignment horizontal="center" wrapText="1"/>
    </xf>
    <xf numFmtId="164" fontId="49" fillId="26" borderId="10" xfId="0" applyNumberFormat="1" applyFont="1" applyFill="1" applyBorder="1" applyAlignment="1">
      <alignment horizontal="center"/>
    </xf>
    <xf numFmtId="164" fontId="50" fillId="26" borderId="10" xfId="0" applyNumberFormat="1" applyFont="1" applyFill="1" applyBorder="1" applyAlignment="1">
      <alignment horizontal="center"/>
    </xf>
    <xf numFmtId="177" fontId="49" fillId="26" borderId="10" xfId="0" applyNumberFormat="1" applyFont="1" applyFill="1" applyBorder="1" applyAlignment="1">
      <alignment horizontal="center"/>
    </xf>
    <xf numFmtId="177" fontId="50" fillId="26" borderId="10" xfId="0" applyNumberFormat="1" applyFont="1" applyFill="1" applyBorder="1" applyAlignment="1">
      <alignment horizontal="center"/>
    </xf>
    <xf numFmtId="177" fontId="49" fillId="26" borderId="10" xfId="0" applyNumberFormat="1" applyFont="1" applyFill="1" applyBorder="1" applyAlignment="1">
      <alignment horizontal="center"/>
    </xf>
    <xf numFmtId="0" fontId="19" fillId="26" borderId="0" xfId="0" applyFont="1" applyFill="1" applyAlignment="1">
      <alignment/>
    </xf>
    <xf numFmtId="49" fontId="39" fillId="26" borderId="10" xfId="0" applyNumberFormat="1" applyFont="1" applyFill="1" applyBorder="1" applyAlignment="1">
      <alignment horizontal="center" vertical="center" wrapText="1"/>
    </xf>
    <xf numFmtId="49" fontId="49" fillId="26" borderId="10" xfId="0" applyNumberFormat="1" applyFont="1" applyFill="1" applyBorder="1" applyAlignment="1">
      <alignment horizontal="left" vertical="center" wrapText="1"/>
    </xf>
    <xf numFmtId="0" fontId="49" fillId="26" borderId="10" xfId="0" applyFont="1" applyFill="1" applyBorder="1" applyAlignment="1">
      <alignment horizontal="center" vertical="center"/>
    </xf>
    <xf numFmtId="0" fontId="49" fillId="26" borderId="0" xfId="0" applyFont="1" applyFill="1" applyAlignment="1">
      <alignment vertical="center"/>
    </xf>
    <xf numFmtId="164" fontId="49" fillId="26" borderId="0" xfId="0" applyNumberFormat="1" applyFont="1" applyFill="1" applyAlignment="1">
      <alignment vertical="center"/>
    </xf>
    <xf numFmtId="164" fontId="19" fillId="26" borderId="10" xfId="0" applyNumberFormat="1" applyFont="1" applyFill="1" applyBorder="1" applyAlignment="1">
      <alignment horizontal="center" vertical="center"/>
    </xf>
    <xf numFmtId="179" fontId="19" fillId="0" borderId="10" xfId="0" applyNumberFormat="1" applyFont="1" applyFill="1" applyBorder="1" applyAlignment="1">
      <alignment horizontal="center"/>
    </xf>
    <xf numFmtId="179" fontId="49" fillId="0" borderId="10" xfId="0" applyNumberFormat="1" applyFont="1" applyFill="1" applyBorder="1" applyAlignment="1">
      <alignment horizontal="center"/>
    </xf>
    <xf numFmtId="179" fontId="49" fillId="26" borderId="10" xfId="0" applyNumberFormat="1" applyFont="1" applyFill="1" applyBorder="1" applyAlignment="1">
      <alignment horizontal="center"/>
    </xf>
    <xf numFmtId="184" fontId="12" fillId="0" borderId="10" xfId="0" applyNumberFormat="1" applyFont="1" applyFill="1" applyBorder="1" applyAlignment="1">
      <alignment vertical="center" wrapText="1"/>
    </xf>
    <xf numFmtId="184" fontId="13" fillId="0" borderId="10" xfId="0" applyNumberFormat="1" applyFont="1" applyFill="1" applyBorder="1" applyAlignment="1">
      <alignment vertical="center" wrapText="1"/>
    </xf>
    <xf numFmtId="2" fontId="22" fillId="0" borderId="0" xfId="0" applyNumberFormat="1" applyFont="1" applyAlignment="1">
      <alignment horizontal="center" vertical="center"/>
    </xf>
    <xf numFmtId="2" fontId="15" fillId="0" borderId="10" xfId="0" applyNumberFormat="1" applyFont="1" applyFill="1" applyBorder="1" applyAlignment="1">
      <alignment/>
    </xf>
    <xf numFmtId="177" fontId="69" fillId="0" borderId="0" xfId="0" applyNumberFormat="1" applyFont="1" applyFill="1" applyAlignment="1">
      <alignment/>
    </xf>
    <xf numFmtId="177" fontId="62" fillId="0" borderId="0" xfId="0" applyNumberFormat="1" applyFont="1" applyFill="1" applyAlignment="1">
      <alignment/>
    </xf>
    <xf numFmtId="165" fontId="20" fillId="0" borderId="0" xfId="0" applyNumberFormat="1" applyFont="1" applyFill="1" applyBorder="1" applyAlignment="1">
      <alignment horizontal="center"/>
    </xf>
    <xf numFmtId="177" fontId="59" fillId="0" borderId="0" xfId="0" applyNumberFormat="1" applyFont="1" applyFill="1" applyAlignment="1">
      <alignment/>
    </xf>
    <xf numFmtId="164" fontId="17" fillId="0" borderId="10" xfId="0" applyNumberFormat="1" applyFont="1" applyFill="1" applyBorder="1" applyAlignment="1">
      <alignment horizontal="right"/>
    </xf>
    <xf numFmtId="164" fontId="16" fillId="27" borderId="10" xfId="0" applyNumberFormat="1" applyFont="1" applyFill="1" applyBorder="1" applyAlignment="1">
      <alignment horizontal="right"/>
    </xf>
    <xf numFmtId="0" fontId="60" fillId="0" borderId="0" xfId="53" applyFont="1" applyFill="1" applyAlignment="1">
      <alignment horizontal="left"/>
      <protection/>
    </xf>
    <xf numFmtId="0" fontId="10" fillId="0" borderId="0" xfId="0" applyFont="1" applyAlignment="1">
      <alignment horizontal="left" vertical="top"/>
    </xf>
    <xf numFmtId="3" fontId="52" fillId="0" borderId="0" xfId="0" applyNumberFormat="1" applyFont="1" applyAlignment="1">
      <alignment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left" vertical="center"/>
    </xf>
    <xf numFmtId="187" fontId="22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77" fontId="19" fillId="0" borderId="0" xfId="0" applyNumberFormat="1" applyFont="1" applyAlignment="1">
      <alignment vertical="center"/>
    </xf>
    <xf numFmtId="2" fontId="25" fillId="0" borderId="10" xfId="0" applyNumberFormat="1" applyFont="1" applyBorder="1" applyAlignment="1">
      <alignment horizontal="center" vertical="center" wrapText="1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vertical="center"/>
    </xf>
    <xf numFmtId="0" fontId="26" fillId="0" borderId="10" xfId="0" applyFont="1" applyBorder="1" applyAlignment="1">
      <alignment vertical="top" wrapText="1"/>
    </xf>
    <xf numFmtId="0" fontId="68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27" borderId="10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right"/>
    </xf>
    <xf numFmtId="0" fontId="70" fillId="0" borderId="0" xfId="0" applyFont="1" applyFill="1" applyAlignment="1">
      <alignment horizontal="center"/>
    </xf>
    <xf numFmtId="49" fontId="15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21" xfId="0" applyFont="1" applyBorder="1" applyAlignment="1">
      <alignment/>
    </xf>
    <xf numFmtId="3" fontId="22" fillId="0" borderId="21" xfId="0" applyNumberFormat="1" applyFont="1" applyFill="1" applyBorder="1" applyAlignment="1">
      <alignment horizontal="center"/>
    </xf>
    <xf numFmtId="3" fontId="20" fillId="0" borderId="21" xfId="0" applyNumberFormat="1" applyFont="1" applyFill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20" fillId="0" borderId="21" xfId="0" applyNumberFormat="1" applyFont="1" applyFill="1" applyBorder="1" applyAlignment="1">
      <alignment horizontal="center" wrapText="1"/>
    </xf>
    <xf numFmtId="3" fontId="22" fillId="0" borderId="21" xfId="0" applyNumberFormat="1" applyFont="1" applyFill="1" applyBorder="1" applyAlignment="1">
      <alignment horizontal="center" wrapText="1"/>
    </xf>
    <xf numFmtId="0" fontId="20" fillId="0" borderId="21" xfId="0" applyFont="1" applyFill="1" applyBorder="1" applyAlignment="1">
      <alignment/>
    </xf>
    <xf numFmtId="165" fontId="20" fillId="0" borderId="21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2" fontId="22" fillId="0" borderId="21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center" wrapText="1"/>
    </xf>
    <xf numFmtId="4" fontId="20" fillId="0" borderId="10" xfId="0" applyNumberFormat="1" applyFont="1" applyFill="1" applyBorder="1" applyAlignment="1">
      <alignment horizontal="center" wrapText="1"/>
    </xf>
    <xf numFmtId="188" fontId="22" fillId="0" borderId="10" xfId="0" applyNumberFormat="1" applyFont="1" applyFill="1" applyBorder="1" applyAlignment="1">
      <alignment horizontal="center" wrapText="1"/>
    </xf>
    <xf numFmtId="188" fontId="22" fillId="29" borderId="10" xfId="0" applyNumberFormat="1" applyFont="1" applyFill="1" applyBorder="1" applyAlignment="1">
      <alignment horizontal="center" wrapText="1"/>
    </xf>
    <xf numFmtId="0" fontId="22" fillId="30" borderId="10" xfId="0" applyFont="1" applyFill="1" applyBorder="1" applyAlignment="1">
      <alignment/>
    </xf>
    <xf numFmtId="0" fontId="20" fillId="30" borderId="10" xfId="0" applyFont="1" applyFill="1" applyBorder="1" applyAlignment="1">
      <alignment horizontal="center"/>
    </xf>
    <xf numFmtId="188" fontId="22" fillId="30" borderId="10" xfId="0" applyNumberFormat="1" applyFont="1" applyFill="1" applyBorder="1" applyAlignment="1">
      <alignment horizontal="center"/>
    </xf>
    <xf numFmtId="182" fontId="25" fillId="0" borderId="10" xfId="0" applyNumberFormat="1" applyFont="1" applyBorder="1" applyAlignment="1">
      <alignment horizontal="center" vertical="center" wrapText="1"/>
    </xf>
    <xf numFmtId="182" fontId="25" fillId="0" borderId="10" xfId="0" applyNumberFormat="1" applyFont="1" applyFill="1" applyBorder="1" applyAlignment="1">
      <alignment horizontal="center" vertical="center" wrapText="1"/>
    </xf>
    <xf numFmtId="182" fontId="2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wrapText="1"/>
    </xf>
    <xf numFmtId="182" fontId="10" fillId="0" borderId="10" xfId="0" applyNumberFormat="1" applyFont="1" applyFill="1" applyBorder="1" applyAlignment="1">
      <alignment/>
    </xf>
    <xf numFmtId="182" fontId="15" fillId="0" borderId="10" xfId="0" applyNumberFormat="1" applyFont="1" applyFill="1" applyBorder="1" applyAlignment="1">
      <alignment wrapText="1"/>
    </xf>
    <xf numFmtId="2" fontId="15" fillId="27" borderId="10" xfId="0" applyNumberFormat="1" applyFont="1" applyFill="1" applyBorder="1" applyAlignment="1">
      <alignment wrapText="1"/>
    </xf>
    <xf numFmtId="182" fontId="15" fillId="27" borderId="10" xfId="0" applyNumberFormat="1" applyFont="1" applyFill="1" applyBorder="1" applyAlignment="1">
      <alignment wrapText="1"/>
    </xf>
    <xf numFmtId="182" fontId="15" fillId="27" borderId="10" xfId="0" applyNumberFormat="1" applyFont="1" applyFill="1" applyBorder="1" applyAlignment="1">
      <alignment/>
    </xf>
    <xf numFmtId="182" fontId="15" fillId="0" borderId="10" xfId="0" applyNumberFormat="1" applyFont="1" applyFill="1" applyBorder="1" applyAlignment="1">
      <alignment/>
    </xf>
    <xf numFmtId="182" fontId="59" fillId="0" borderId="0" xfId="0" applyNumberFormat="1" applyFont="1" applyFill="1" applyAlignment="1">
      <alignment/>
    </xf>
    <xf numFmtId="182" fontId="10" fillId="9" borderId="10" xfId="0" applyNumberFormat="1" applyFont="1" applyFill="1" applyBorder="1" applyAlignment="1">
      <alignment/>
    </xf>
    <xf numFmtId="182" fontId="15" fillId="0" borderId="0" xfId="0" applyNumberFormat="1" applyFont="1" applyFill="1" applyAlignment="1">
      <alignment horizontal="right"/>
    </xf>
    <xf numFmtId="164" fontId="59" fillId="0" borderId="43" xfId="0" applyNumberFormat="1" applyFont="1" applyFill="1" applyBorder="1" applyAlignment="1">
      <alignment/>
    </xf>
    <xf numFmtId="164" fontId="59" fillId="0" borderId="20" xfId="0" applyNumberFormat="1" applyFont="1" applyFill="1" applyBorder="1" applyAlignment="1">
      <alignment/>
    </xf>
    <xf numFmtId="164" fontId="59" fillId="0" borderId="10" xfId="0" applyNumberFormat="1" applyFont="1" applyFill="1" applyBorder="1" applyAlignment="1">
      <alignment/>
    </xf>
    <xf numFmtId="1" fontId="59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 horizontal="center"/>
    </xf>
    <xf numFmtId="1" fontId="61" fillId="0" borderId="0" xfId="0" applyNumberFormat="1" applyFont="1" applyFill="1" applyAlignment="1">
      <alignment horizontal="center"/>
    </xf>
    <xf numFmtId="49" fontId="60" fillId="0" borderId="2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Border="1" applyAlignment="1">
      <alignment horizontal="right"/>
    </xf>
    <xf numFmtId="185" fontId="6" fillId="26" borderId="10" xfId="0" applyNumberFormat="1" applyFont="1" applyFill="1" applyBorder="1" applyAlignment="1">
      <alignment horizontal="right"/>
    </xf>
    <xf numFmtId="185" fontId="7" fillId="26" borderId="10" xfId="0" applyNumberFormat="1" applyFont="1" applyFill="1" applyBorder="1" applyAlignment="1">
      <alignment horizontal="right"/>
    </xf>
    <xf numFmtId="188" fontId="11" fillId="0" borderId="32" xfId="0" applyNumberFormat="1" applyFont="1" applyFill="1" applyBorder="1" applyAlignment="1">
      <alignment horizontal="right" vertical="center" wrapText="1"/>
    </xf>
    <xf numFmtId="188" fontId="11" fillId="0" borderId="31" xfId="0" applyNumberFormat="1" applyFont="1" applyFill="1" applyBorder="1" applyAlignment="1">
      <alignment horizontal="right" vertical="center" wrapText="1"/>
    </xf>
    <xf numFmtId="188" fontId="21" fillId="0" borderId="10" xfId="0" applyNumberFormat="1" applyFont="1" applyFill="1" applyBorder="1" applyAlignment="1">
      <alignment horizontal="right" vertical="center" wrapText="1"/>
    </xf>
    <xf numFmtId="188" fontId="21" fillId="0" borderId="21" xfId="0" applyNumberFormat="1" applyFont="1" applyFill="1" applyBorder="1" applyAlignment="1">
      <alignment horizontal="right" vertical="center" wrapText="1"/>
    </xf>
    <xf numFmtId="188" fontId="11" fillId="0" borderId="35" xfId="0" applyNumberFormat="1" applyFont="1" applyFill="1" applyBorder="1" applyAlignment="1">
      <alignment horizontal="right" vertical="center" wrapText="1"/>
    </xf>
    <xf numFmtId="0" fontId="12" fillId="0" borderId="24" xfId="0" applyFont="1" applyFill="1" applyBorder="1" applyAlignment="1">
      <alignment horizontal="center" vertical="center" wrapText="1"/>
    </xf>
    <xf numFmtId="188" fontId="13" fillId="0" borderId="10" xfId="0" applyNumberFormat="1" applyFont="1" applyFill="1" applyBorder="1" applyAlignment="1">
      <alignment vertical="center" wrapText="1"/>
    </xf>
    <xf numFmtId="188" fontId="72" fillId="0" borderId="31" xfId="0" applyNumberFormat="1" applyFont="1" applyFill="1" applyBorder="1" applyAlignment="1">
      <alignment vertical="center" wrapText="1"/>
    </xf>
    <xf numFmtId="182" fontId="12" fillId="2" borderId="10" xfId="0" applyNumberFormat="1" applyFont="1" applyFill="1" applyBorder="1" applyAlignment="1">
      <alignment horizontal="center" wrapText="1"/>
    </xf>
    <xf numFmtId="182" fontId="13" fillId="2" borderId="24" xfId="0" applyNumberFormat="1" applyFont="1" applyFill="1" applyBorder="1" applyAlignment="1">
      <alignment horizontal="center" wrapText="1"/>
    </xf>
    <xf numFmtId="0" fontId="71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right"/>
    </xf>
    <xf numFmtId="2" fontId="6" fillId="26" borderId="10" xfId="0" applyNumberFormat="1" applyFont="1" applyFill="1" applyBorder="1" applyAlignment="1">
      <alignment horizontal="right"/>
    </xf>
    <xf numFmtId="2" fontId="7" fillId="26" borderId="10" xfId="0" applyNumberFormat="1" applyFont="1" applyFill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2" fontId="16" fillId="0" borderId="0" xfId="0" applyNumberFormat="1" applyFont="1" applyAlignment="1">
      <alignment/>
    </xf>
    <xf numFmtId="2" fontId="17" fillId="26" borderId="10" xfId="0" applyNumberFormat="1" applyFont="1" applyFill="1" applyBorder="1" applyAlignment="1">
      <alignment horizontal="right"/>
    </xf>
    <xf numFmtId="49" fontId="73" fillId="0" borderId="45" xfId="0" applyNumberFormat="1" applyFont="1" applyFill="1" applyBorder="1" applyAlignment="1">
      <alignment horizontal="center"/>
    </xf>
    <xf numFmtId="49" fontId="73" fillId="0" borderId="42" xfId="0" applyNumberFormat="1" applyFont="1" applyFill="1" applyBorder="1" applyAlignment="1">
      <alignment horizontal="center"/>
    </xf>
    <xf numFmtId="0" fontId="73" fillId="0" borderId="39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2" fontId="73" fillId="0" borderId="10" xfId="0" applyNumberFormat="1" applyFont="1" applyBorder="1" applyAlignment="1">
      <alignment wrapText="1"/>
    </xf>
    <xf numFmtId="49" fontId="73" fillId="0" borderId="41" xfId="0" applyNumberFormat="1" applyFont="1" applyFill="1" applyBorder="1" applyAlignment="1">
      <alignment horizontal="center" vertical="center" wrapText="1"/>
    </xf>
    <xf numFmtId="0" fontId="73" fillId="0" borderId="40" xfId="0" applyFont="1" applyFill="1" applyBorder="1" applyAlignment="1">
      <alignment horizontal="center" vertical="center" wrapText="1"/>
    </xf>
    <xf numFmtId="49" fontId="73" fillId="0" borderId="39" xfId="0" applyNumberFormat="1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center" wrapText="1"/>
    </xf>
    <xf numFmtId="2" fontId="73" fillId="0" borderId="10" xfId="0" applyNumberFormat="1" applyFont="1" applyBorder="1" applyAlignment="1">
      <alignment/>
    </xf>
    <xf numFmtId="0" fontId="74" fillId="0" borderId="52" xfId="0" applyFont="1" applyFill="1" applyBorder="1" applyAlignment="1">
      <alignment horizontal="center" vertical="center"/>
    </xf>
    <xf numFmtId="49" fontId="74" fillId="0" borderId="39" xfId="0" applyNumberFormat="1" applyFont="1" applyFill="1" applyBorder="1" applyAlignment="1">
      <alignment horizontal="center" vertical="center"/>
    </xf>
    <xf numFmtId="0" fontId="74" fillId="0" borderId="50" xfId="0" applyFont="1" applyFill="1" applyBorder="1" applyAlignment="1">
      <alignment horizontal="center" vertical="center"/>
    </xf>
    <xf numFmtId="0" fontId="74" fillId="0" borderId="39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1" fontId="74" fillId="0" borderId="10" xfId="0" applyNumberFormat="1" applyFont="1" applyBorder="1" applyAlignment="1">
      <alignment horizontal="center"/>
    </xf>
    <xf numFmtId="0" fontId="73" fillId="29" borderId="10" xfId="0" applyFont="1" applyFill="1" applyBorder="1" applyAlignment="1">
      <alignment horizontal="center" wrapText="1"/>
    </xf>
    <xf numFmtId="0" fontId="74" fillId="29" borderId="10" xfId="0" applyFont="1" applyFill="1" applyBorder="1" applyAlignment="1">
      <alignment horizontal="right"/>
    </xf>
    <xf numFmtId="49" fontId="74" fillId="29" borderId="10" xfId="0" applyNumberFormat="1" applyFont="1" applyFill="1" applyBorder="1" applyAlignment="1">
      <alignment horizontal="center"/>
    </xf>
    <xf numFmtId="0" fontId="74" fillId="29" borderId="10" xfId="0" applyFont="1" applyFill="1" applyBorder="1" applyAlignment="1">
      <alignment/>
    </xf>
    <xf numFmtId="2" fontId="73" fillId="29" borderId="10" xfId="0" applyNumberFormat="1" applyFont="1" applyFill="1" applyBorder="1" applyAlignment="1">
      <alignment horizontal="center"/>
    </xf>
    <xf numFmtId="0" fontId="73" fillId="0" borderId="10" xfId="0" applyFont="1" applyFill="1" applyBorder="1" applyAlignment="1">
      <alignment wrapText="1"/>
    </xf>
    <xf numFmtId="49" fontId="74" fillId="0" borderId="42" xfId="0" applyNumberFormat="1" applyFont="1" applyFill="1" applyBorder="1" applyAlignment="1">
      <alignment horizontal="center"/>
    </xf>
    <xf numFmtId="49" fontId="74" fillId="0" borderId="20" xfId="0" applyNumberFormat="1" applyFont="1" applyFill="1" applyBorder="1" applyAlignment="1">
      <alignment horizontal="center"/>
    </xf>
    <xf numFmtId="0" fontId="74" fillId="0" borderId="20" xfId="0" applyFont="1" applyFill="1" applyBorder="1" applyAlignment="1">
      <alignment horizontal="right"/>
    </xf>
    <xf numFmtId="2" fontId="73" fillId="0" borderId="10" xfId="0" applyNumberFormat="1" applyFont="1" applyBorder="1" applyAlignment="1">
      <alignment horizontal="center"/>
    </xf>
    <xf numFmtId="0" fontId="75" fillId="0" borderId="10" xfId="0" applyFont="1" applyFill="1" applyBorder="1" applyAlignment="1">
      <alignment wrapText="1"/>
    </xf>
    <xf numFmtId="49" fontId="76" fillId="0" borderId="10" xfId="0" applyNumberFormat="1" applyFont="1" applyFill="1" applyBorder="1" applyAlignment="1">
      <alignment horizontal="center"/>
    </xf>
    <xf numFmtId="0" fontId="74" fillId="0" borderId="10" xfId="0" applyFont="1" applyFill="1" applyBorder="1" applyAlignment="1">
      <alignment horizontal="right"/>
    </xf>
    <xf numFmtId="0" fontId="77" fillId="0" borderId="10" xfId="0" applyFont="1" applyFill="1" applyBorder="1" applyAlignment="1">
      <alignment wrapText="1"/>
    </xf>
    <xf numFmtId="49" fontId="74" fillId="0" borderId="10" xfId="0" applyNumberFormat="1" applyFont="1" applyFill="1" applyBorder="1" applyAlignment="1">
      <alignment horizontal="center"/>
    </xf>
    <xf numFmtId="0" fontId="74" fillId="0" borderId="10" xfId="0" applyFont="1" applyFill="1" applyBorder="1" applyAlignment="1">
      <alignment wrapText="1"/>
    </xf>
    <xf numFmtId="0" fontId="74" fillId="0" borderId="10" xfId="0" applyFont="1" applyFill="1" applyBorder="1" applyAlignment="1">
      <alignment horizontal="left" wrapText="1"/>
    </xf>
    <xf numFmtId="2" fontId="74" fillId="0" borderId="10" xfId="0" applyNumberFormat="1" applyFont="1" applyBorder="1" applyAlignment="1">
      <alignment/>
    </xf>
    <xf numFmtId="0" fontId="74" fillId="0" borderId="10" xfId="0" applyFont="1" applyFill="1" applyBorder="1" applyAlignment="1">
      <alignment horizontal="center" wrapText="1"/>
    </xf>
    <xf numFmtId="2" fontId="74" fillId="0" borderId="10" xfId="0" applyNumberFormat="1" applyFont="1" applyBorder="1" applyAlignment="1">
      <alignment horizontal="center"/>
    </xf>
    <xf numFmtId="49" fontId="74" fillId="0" borderId="50" xfId="0" applyNumberFormat="1" applyFont="1" applyFill="1" applyBorder="1" applyAlignment="1">
      <alignment horizontal="center"/>
    </xf>
    <xf numFmtId="49" fontId="74" fillId="0" borderId="39" xfId="0" applyNumberFormat="1" applyFont="1" applyFill="1" applyBorder="1" applyAlignment="1">
      <alignment horizontal="center"/>
    </xf>
    <xf numFmtId="49" fontId="74" fillId="0" borderId="39" xfId="0" applyNumberFormat="1" applyFont="1" applyFill="1" applyBorder="1" applyAlignment="1">
      <alignment horizontal="center" wrapText="1"/>
    </xf>
    <xf numFmtId="2" fontId="74" fillId="0" borderId="39" xfId="0" applyNumberFormat="1" applyFont="1" applyBorder="1" applyAlignment="1">
      <alignment horizontal="center"/>
    </xf>
    <xf numFmtId="0" fontId="73" fillId="0" borderId="10" xfId="0" applyFont="1" applyFill="1" applyBorder="1" applyAlignment="1">
      <alignment horizontal="left" wrapText="1"/>
    </xf>
    <xf numFmtId="49" fontId="74" fillId="0" borderId="10" xfId="0" applyNumberFormat="1" applyFont="1" applyFill="1" applyBorder="1" applyAlignment="1">
      <alignment horizontal="center" wrapText="1"/>
    </xf>
    <xf numFmtId="2" fontId="73" fillId="0" borderId="39" xfId="0" applyNumberFormat="1" applyFont="1" applyBorder="1" applyAlignment="1">
      <alignment horizontal="center"/>
    </xf>
    <xf numFmtId="0" fontId="78" fillId="0" borderId="10" xfId="0" applyFont="1" applyFill="1" applyBorder="1" applyAlignment="1">
      <alignment wrapText="1"/>
    </xf>
    <xf numFmtId="0" fontId="74" fillId="0" borderId="39" xfId="0" applyFont="1" applyFill="1" applyBorder="1" applyAlignment="1">
      <alignment horizontal="right"/>
    </xf>
    <xf numFmtId="0" fontId="77" fillId="29" borderId="10" xfId="0" applyFont="1" applyFill="1" applyBorder="1" applyAlignment="1">
      <alignment horizontal="left" wrapText="1"/>
    </xf>
    <xf numFmtId="49" fontId="74" fillId="29" borderId="50" xfId="0" applyNumberFormat="1" applyFont="1" applyFill="1" applyBorder="1" applyAlignment="1">
      <alignment horizontal="center"/>
    </xf>
    <xf numFmtId="49" fontId="74" fillId="29" borderId="39" xfId="0" applyNumberFormat="1" applyFont="1" applyFill="1" applyBorder="1" applyAlignment="1">
      <alignment horizontal="center"/>
    </xf>
    <xf numFmtId="0" fontId="74" fillId="29" borderId="39" xfId="0" applyFont="1" applyFill="1" applyBorder="1" applyAlignment="1">
      <alignment horizontal="right"/>
    </xf>
    <xf numFmtId="0" fontId="74" fillId="29" borderId="0" xfId="0" applyFont="1" applyFill="1" applyAlignment="1">
      <alignment/>
    </xf>
    <xf numFmtId="2" fontId="73" fillId="29" borderId="39" xfId="0" applyNumberFormat="1" applyFont="1" applyFill="1" applyBorder="1" applyAlignment="1">
      <alignment horizontal="center"/>
    </xf>
    <xf numFmtId="0" fontId="78" fillId="0" borderId="10" xfId="0" applyFont="1" applyFill="1" applyBorder="1" applyAlignment="1">
      <alignment horizontal="left" wrapText="1"/>
    </xf>
    <xf numFmtId="0" fontId="74" fillId="0" borderId="0" xfId="0" applyFont="1" applyFill="1" applyAlignment="1">
      <alignment/>
    </xf>
    <xf numFmtId="2" fontId="73" fillId="0" borderId="39" xfId="0" applyNumberFormat="1" applyFont="1" applyFill="1" applyBorder="1" applyAlignment="1">
      <alignment horizontal="center"/>
    </xf>
    <xf numFmtId="2" fontId="74" fillId="29" borderId="39" xfId="0" applyNumberFormat="1" applyFont="1" applyFill="1" applyBorder="1" applyAlignment="1">
      <alignment horizontal="center"/>
    </xf>
    <xf numFmtId="0" fontId="77" fillId="0" borderId="10" xfId="0" applyFont="1" applyFill="1" applyBorder="1" applyAlignment="1">
      <alignment horizontal="left" wrapText="1"/>
    </xf>
    <xf numFmtId="2" fontId="73" fillId="30" borderId="39" xfId="0" applyNumberFormat="1" applyFont="1" applyFill="1" applyBorder="1" applyAlignment="1">
      <alignment horizontal="center"/>
    </xf>
    <xf numFmtId="182" fontId="74" fillId="29" borderId="39" xfId="0" applyNumberFormat="1" applyFont="1" applyFill="1" applyBorder="1" applyAlignment="1">
      <alignment horizontal="center"/>
    </xf>
    <xf numFmtId="0" fontId="77" fillId="2" borderId="10" xfId="0" applyFont="1" applyFill="1" applyBorder="1" applyAlignment="1">
      <alignment horizontal="left" wrapText="1"/>
    </xf>
    <xf numFmtId="49" fontId="74" fillId="2" borderId="50" xfId="0" applyNumberFormat="1" applyFont="1" applyFill="1" applyBorder="1" applyAlignment="1">
      <alignment horizontal="center"/>
    </xf>
    <xf numFmtId="49" fontId="74" fillId="2" borderId="39" xfId="0" applyNumberFormat="1" applyFont="1" applyFill="1" applyBorder="1" applyAlignment="1">
      <alignment horizontal="center"/>
    </xf>
    <xf numFmtId="0" fontId="74" fillId="2" borderId="39" xfId="0" applyFont="1" applyFill="1" applyBorder="1" applyAlignment="1">
      <alignment horizontal="right"/>
    </xf>
    <xf numFmtId="0" fontId="74" fillId="2" borderId="0" xfId="0" applyFont="1" applyFill="1" applyAlignment="1">
      <alignment/>
    </xf>
    <xf numFmtId="182" fontId="73" fillId="2" borderId="39" xfId="0" applyNumberFormat="1" applyFont="1" applyFill="1" applyBorder="1" applyAlignment="1">
      <alignment horizontal="center"/>
    </xf>
    <xf numFmtId="182" fontId="74" fillId="2" borderId="39" xfId="0" applyNumberFormat="1" applyFont="1" applyFill="1" applyBorder="1" applyAlignment="1">
      <alignment horizontal="center"/>
    </xf>
    <xf numFmtId="0" fontId="78" fillId="29" borderId="10" xfId="0" applyFont="1" applyFill="1" applyBorder="1" applyAlignment="1">
      <alignment horizontal="left" wrapText="1"/>
    </xf>
    <xf numFmtId="0" fontId="74" fillId="29" borderId="42" xfId="0" applyFont="1" applyFill="1" applyBorder="1" applyAlignment="1">
      <alignment/>
    </xf>
    <xf numFmtId="49" fontId="74" fillId="29" borderId="10" xfId="0" applyNumberFormat="1" applyFont="1" applyFill="1" applyBorder="1" applyAlignment="1">
      <alignment/>
    </xf>
    <xf numFmtId="49" fontId="74" fillId="29" borderId="10" xfId="0" applyNumberFormat="1" applyFont="1" applyFill="1" applyBorder="1" applyAlignment="1">
      <alignment/>
    </xf>
    <xf numFmtId="164" fontId="73" fillId="29" borderId="10" xfId="0" applyNumberFormat="1" applyFont="1" applyFill="1" applyBorder="1" applyAlignment="1">
      <alignment horizontal="center"/>
    </xf>
    <xf numFmtId="49" fontId="74" fillId="0" borderId="43" xfId="0" applyNumberFormat="1" applyFont="1" applyFill="1" applyBorder="1" applyAlignment="1">
      <alignment horizontal="center"/>
    </xf>
    <xf numFmtId="49" fontId="74" fillId="0" borderId="18" xfId="0" applyNumberFormat="1" applyFont="1" applyFill="1" applyBorder="1" applyAlignment="1">
      <alignment horizontal="center"/>
    </xf>
    <xf numFmtId="164" fontId="73" fillId="0" borderId="20" xfId="0" applyNumberFormat="1" applyFont="1" applyFill="1" applyBorder="1" applyAlignment="1">
      <alignment horizontal="center"/>
    </xf>
    <xf numFmtId="0" fontId="74" fillId="0" borderId="42" xfId="0" applyFont="1" applyFill="1" applyBorder="1" applyAlignment="1">
      <alignment horizontal="center" wrapText="1"/>
    </xf>
    <xf numFmtId="2" fontId="73" fillId="0" borderId="20" xfId="0" applyNumberFormat="1" applyFont="1" applyFill="1" applyBorder="1" applyAlignment="1">
      <alignment horizontal="center"/>
    </xf>
    <xf numFmtId="2" fontId="74" fillId="0" borderId="20" xfId="0" applyNumberFormat="1" applyFont="1" applyFill="1" applyBorder="1" applyAlignment="1">
      <alignment horizontal="center"/>
    </xf>
    <xf numFmtId="49" fontId="74" fillId="0" borderId="46" xfId="0" applyNumberFormat="1" applyFont="1" applyFill="1" applyBorder="1" applyAlignment="1">
      <alignment horizontal="center"/>
    </xf>
    <xf numFmtId="2" fontId="74" fillId="0" borderId="10" xfId="0" applyNumberFormat="1" applyFont="1" applyFill="1" applyBorder="1" applyAlignment="1">
      <alignment horizontal="center"/>
    </xf>
    <xf numFmtId="0" fontId="74" fillId="0" borderId="39" xfId="0" applyFont="1" applyFill="1" applyBorder="1" applyAlignment="1">
      <alignment wrapText="1"/>
    </xf>
    <xf numFmtId="49" fontId="74" fillId="0" borderId="41" xfId="0" applyNumberFormat="1" applyFont="1" applyFill="1" applyBorder="1" applyAlignment="1">
      <alignment horizontal="center"/>
    </xf>
    <xf numFmtId="0" fontId="74" fillId="0" borderId="50" xfId="0" applyFont="1" applyFill="1" applyBorder="1" applyAlignment="1">
      <alignment horizontal="center" wrapText="1"/>
    </xf>
    <xf numFmtId="2" fontId="74" fillId="0" borderId="40" xfId="0" applyNumberFormat="1" applyFont="1" applyFill="1" applyBorder="1" applyAlignment="1">
      <alignment horizontal="center"/>
    </xf>
    <xf numFmtId="2" fontId="74" fillId="0" borderId="10" xfId="0" applyNumberFormat="1" applyFont="1" applyFill="1" applyBorder="1" applyAlignment="1">
      <alignment horizontal="center" wrapText="1"/>
    </xf>
    <xf numFmtId="2" fontId="74" fillId="0" borderId="21" xfId="0" applyNumberFormat="1" applyFont="1" applyFill="1" applyBorder="1" applyAlignment="1">
      <alignment horizontal="center"/>
    </xf>
    <xf numFmtId="49" fontId="73" fillId="0" borderId="50" xfId="0" applyNumberFormat="1" applyFont="1" applyFill="1" applyBorder="1" applyAlignment="1">
      <alignment horizontal="center"/>
    </xf>
    <xf numFmtId="49" fontId="73" fillId="0" borderId="10" xfId="0" applyNumberFormat="1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horizontal="right"/>
    </xf>
    <xf numFmtId="49" fontId="73" fillId="0" borderId="10" xfId="0" applyNumberFormat="1" applyFont="1" applyFill="1" applyBorder="1" applyAlignment="1">
      <alignment horizontal="center" wrapText="1"/>
    </xf>
    <xf numFmtId="2" fontId="73" fillId="0" borderId="21" xfId="0" applyNumberFormat="1" applyFont="1" applyFill="1" applyBorder="1" applyAlignment="1">
      <alignment horizontal="center"/>
    </xf>
    <xf numFmtId="2" fontId="73" fillId="0" borderId="10" xfId="0" applyNumberFormat="1" applyFont="1" applyFill="1" applyBorder="1" applyAlignment="1">
      <alignment horizontal="center"/>
    </xf>
    <xf numFmtId="0" fontId="74" fillId="0" borderId="20" xfId="0" applyFont="1" applyFill="1" applyBorder="1" applyAlignment="1">
      <alignment horizontal="center" wrapText="1"/>
    </xf>
    <xf numFmtId="2" fontId="74" fillId="0" borderId="18" xfId="0" applyNumberFormat="1" applyFont="1" applyFill="1" applyBorder="1" applyAlignment="1">
      <alignment horizontal="center"/>
    </xf>
    <xf numFmtId="0" fontId="77" fillId="29" borderId="10" xfId="0" applyFont="1" applyFill="1" applyBorder="1" applyAlignment="1">
      <alignment wrapText="1"/>
    </xf>
    <xf numFmtId="49" fontId="74" fillId="29" borderId="20" xfId="0" applyNumberFormat="1" applyFont="1" applyFill="1" applyBorder="1" applyAlignment="1">
      <alignment horizontal="center"/>
    </xf>
    <xf numFmtId="49" fontId="74" fillId="29" borderId="20" xfId="0" applyNumberFormat="1" applyFont="1" applyFill="1" applyBorder="1" applyAlignment="1">
      <alignment horizontal="center" wrapText="1"/>
    </xf>
    <xf numFmtId="0" fontId="74" fillId="29" borderId="20" xfId="0" applyFont="1" applyFill="1" applyBorder="1" applyAlignment="1">
      <alignment horizontal="right"/>
    </xf>
    <xf numFmtId="2" fontId="73" fillId="29" borderId="20" xfId="0" applyNumberFormat="1" applyFont="1" applyFill="1" applyBorder="1" applyAlignment="1">
      <alignment horizontal="center"/>
    </xf>
    <xf numFmtId="49" fontId="74" fillId="29" borderId="10" xfId="0" applyNumberFormat="1" applyFont="1" applyFill="1" applyBorder="1" applyAlignment="1">
      <alignment horizontal="center" wrapText="1"/>
    </xf>
    <xf numFmtId="0" fontId="74" fillId="0" borderId="39" xfId="0" applyFont="1" applyFill="1" applyBorder="1" applyAlignment="1">
      <alignment horizontal="center" wrapText="1"/>
    </xf>
    <xf numFmtId="2" fontId="74" fillId="0" borderId="39" xfId="0" applyNumberFormat="1" applyFont="1" applyFill="1" applyBorder="1" applyAlignment="1">
      <alignment horizontal="center"/>
    </xf>
    <xf numFmtId="0" fontId="73" fillId="29" borderId="10" xfId="0" applyFont="1" applyFill="1" applyBorder="1" applyAlignment="1">
      <alignment wrapText="1"/>
    </xf>
    <xf numFmtId="2" fontId="74" fillId="29" borderId="10" xfId="0" applyNumberFormat="1" applyFont="1" applyFill="1" applyBorder="1" applyAlignment="1">
      <alignment horizontal="center"/>
    </xf>
    <xf numFmtId="0" fontId="74" fillId="29" borderId="10" xfId="0" applyFont="1" applyFill="1" applyBorder="1" applyAlignment="1">
      <alignment wrapText="1"/>
    </xf>
    <xf numFmtId="177" fontId="73" fillId="29" borderId="10" xfId="0" applyNumberFormat="1" applyFont="1" applyFill="1" applyBorder="1" applyAlignment="1">
      <alignment horizontal="center"/>
    </xf>
    <xf numFmtId="0" fontId="113" fillId="0" borderId="0" xfId="0" applyFont="1" applyAlignment="1">
      <alignment/>
    </xf>
    <xf numFmtId="0" fontId="74" fillId="29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79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64" fillId="0" borderId="0" xfId="0" applyFont="1" applyAlignment="1">
      <alignment horizontal="right"/>
    </xf>
    <xf numFmtId="0" fontId="63" fillId="0" borderId="0" xfId="0" applyFont="1" applyAlignment="1">
      <alignment horizontal="centerContinuous"/>
    </xf>
    <xf numFmtId="0" fontId="64" fillId="0" borderId="0" xfId="0" applyFont="1" applyAlignment="1">
      <alignment/>
    </xf>
    <xf numFmtId="0" fontId="6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81" fillId="0" borderId="10" xfId="0" applyFont="1" applyBorder="1" applyAlignment="1">
      <alignment horizontal="right" wrapText="1"/>
    </xf>
    <xf numFmtId="0" fontId="81" fillId="0" borderId="45" xfId="0" applyFont="1" applyBorder="1" applyAlignment="1">
      <alignment horizontal="right"/>
    </xf>
    <xf numFmtId="0" fontId="81" fillId="0" borderId="10" xfId="0" applyFont="1" applyBorder="1" applyAlignment="1">
      <alignment horizontal="right"/>
    </xf>
    <xf numFmtId="1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190" fontId="0" fillId="0" borderId="10" xfId="0" applyNumberFormat="1" applyBorder="1" applyAlignment="1">
      <alignment horizontal="right"/>
    </xf>
    <xf numFmtId="19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49" fontId="15" fillId="27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71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left" vertical="center" wrapText="1"/>
    </xf>
    <xf numFmtId="2" fontId="70" fillId="0" borderId="10" xfId="0" applyNumberFormat="1" applyFont="1" applyBorder="1" applyAlignment="1">
      <alignment horizontal="center" wrapText="1"/>
    </xf>
    <xf numFmtId="2" fontId="43" fillId="0" borderId="10" xfId="0" applyNumberFormat="1" applyFont="1" applyBorder="1" applyAlignment="1">
      <alignment/>
    </xf>
    <xf numFmtId="2" fontId="43" fillId="0" borderId="10" xfId="0" applyNumberFormat="1" applyFont="1" applyBorder="1" applyAlignment="1">
      <alignment horizontal="center"/>
    </xf>
    <xf numFmtId="0" fontId="2" fillId="26" borderId="10" xfId="0" applyFont="1" applyFill="1" applyBorder="1" applyAlignment="1">
      <alignment horizontal="center" vertical="center" wrapText="1"/>
    </xf>
    <xf numFmtId="2" fontId="71" fillId="26" borderId="10" xfId="0" applyNumberFormat="1" applyFont="1" applyFill="1" applyBorder="1" applyAlignment="1">
      <alignment horizontal="center" wrapText="1"/>
    </xf>
    <xf numFmtId="49" fontId="73" fillId="0" borderId="39" xfId="0" applyNumberFormat="1" applyFont="1" applyFill="1" applyBorder="1" applyAlignment="1">
      <alignment horizontal="center"/>
    </xf>
    <xf numFmtId="164" fontId="15" fillId="31" borderId="10" xfId="0" applyNumberFormat="1" applyFont="1" applyFill="1" applyBorder="1" applyAlignment="1">
      <alignment/>
    </xf>
    <xf numFmtId="164" fontId="15" fillId="31" borderId="10" xfId="0" applyNumberFormat="1" applyFont="1" applyFill="1" applyBorder="1" applyAlignment="1">
      <alignment wrapText="1"/>
    </xf>
    <xf numFmtId="177" fontId="15" fillId="31" borderId="10" xfId="0" applyNumberFormat="1" applyFont="1" applyFill="1" applyBorder="1" applyAlignment="1">
      <alignment/>
    </xf>
    <xf numFmtId="164" fontId="10" fillId="31" borderId="10" xfId="0" applyNumberFormat="1" applyFont="1" applyFill="1" applyBorder="1" applyAlignment="1">
      <alignment/>
    </xf>
    <xf numFmtId="2" fontId="10" fillId="31" borderId="10" xfId="0" applyNumberFormat="1" applyFont="1" applyFill="1" applyBorder="1" applyAlignment="1">
      <alignment/>
    </xf>
    <xf numFmtId="49" fontId="59" fillId="0" borderId="20" xfId="0" applyNumberFormat="1" applyFont="1" applyFill="1" applyBorder="1" applyAlignment="1">
      <alignment horizontal="center" wrapText="1"/>
    </xf>
    <xf numFmtId="49" fontId="59" fillId="32" borderId="20" xfId="0" applyNumberFormat="1" applyFont="1" applyFill="1" applyBorder="1" applyAlignment="1">
      <alignment horizontal="center" wrapText="1"/>
    </xf>
    <xf numFmtId="164" fontId="15" fillId="32" borderId="10" xfId="0" applyNumberFormat="1" applyFont="1" applyFill="1" applyBorder="1" applyAlignment="1">
      <alignment/>
    </xf>
    <xf numFmtId="164" fontId="15" fillId="32" borderId="10" xfId="0" applyNumberFormat="1" applyFont="1" applyFill="1" applyBorder="1" applyAlignment="1">
      <alignment wrapText="1"/>
    </xf>
    <xf numFmtId="177" fontId="15" fillId="32" borderId="10" xfId="0" applyNumberFormat="1" applyFont="1" applyFill="1" applyBorder="1" applyAlignment="1">
      <alignment/>
    </xf>
    <xf numFmtId="164" fontId="10" fillId="32" borderId="10" xfId="0" applyNumberFormat="1" applyFont="1" applyFill="1" applyBorder="1" applyAlignment="1">
      <alignment/>
    </xf>
    <xf numFmtId="2" fontId="10" fillId="32" borderId="10" xfId="0" applyNumberFormat="1" applyFont="1" applyFill="1" applyBorder="1" applyAlignment="1">
      <alignment/>
    </xf>
    <xf numFmtId="164" fontId="59" fillId="0" borderId="43" xfId="0" applyNumberFormat="1" applyFont="1" applyFill="1" applyBorder="1" applyAlignment="1">
      <alignment horizontal="center"/>
    </xf>
    <xf numFmtId="188" fontId="20" fillId="0" borderId="10" xfId="0" applyNumberFormat="1" applyFont="1" applyBorder="1" applyAlignment="1">
      <alignment horizontal="center"/>
    </xf>
    <xf numFmtId="188" fontId="22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/>
    </xf>
    <xf numFmtId="164" fontId="20" fillId="0" borderId="10" xfId="0" applyNumberFormat="1" applyFont="1" applyBorder="1" applyAlignment="1">
      <alignment horizontal="center"/>
    </xf>
    <xf numFmtId="182" fontId="10" fillId="0" borderId="10" xfId="0" applyNumberFormat="1" applyFont="1" applyFill="1" applyBorder="1" applyAlignment="1">
      <alignment/>
    </xf>
    <xf numFmtId="182" fontId="10" fillId="0" borderId="42" xfId="0" applyNumberFormat="1" applyFont="1" applyFill="1" applyBorder="1" applyAlignment="1">
      <alignment/>
    </xf>
    <xf numFmtId="182" fontId="17" fillId="0" borderId="42" xfId="0" applyNumberFormat="1" applyFont="1" applyFill="1" applyBorder="1" applyAlignment="1">
      <alignment/>
    </xf>
    <xf numFmtId="182" fontId="17" fillId="27" borderId="10" xfId="0" applyNumberFormat="1" applyFont="1" applyFill="1" applyBorder="1" applyAlignment="1">
      <alignment/>
    </xf>
    <xf numFmtId="182" fontId="15" fillId="2" borderId="10" xfId="0" applyNumberFormat="1" applyFont="1" applyFill="1" applyBorder="1" applyAlignment="1">
      <alignment wrapText="1"/>
    </xf>
    <xf numFmtId="182" fontId="15" fillId="9" borderId="10" xfId="0" applyNumberFormat="1" applyFont="1" applyFill="1" applyBorder="1" applyAlignment="1">
      <alignment/>
    </xf>
    <xf numFmtId="182" fontId="20" fillId="0" borderId="10" xfId="0" applyNumberFormat="1" applyFont="1" applyBorder="1" applyAlignment="1">
      <alignment horizontal="center"/>
    </xf>
    <xf numFmtId="182" fontId="22" fillId="0" borderId="10" xfId="0" applyNumberFormat="1" applyFont="1" applyBorder="1" applyAlignment="1">
      <alignment horizontal="center" vertical="center" wrapText="1"/>
    </xf>
    <xf numFmtId="188" fontId="84" fillId="0" borderId="0" xfId="0" applyNumberFormat="1" applyFont="1" applyFill="1" applyAlignment="1">
      <alignment/>
    </xf>
    <xf numFmtId="177" fontId="16" fillId="0" borderId="0" xfId="0" applyNumberFormat="1" applyFont="1" applyFill="1" applyAlignment="1">
      <alignment/>
    </xf>
    <xf numFmtId="182" fontId="13" fillId="2" borderId="20" xfId="0" applyNumberFormat="1" applyFont="1" applyFill="1" applyBorder="1" applyAlignment="1">
      <alignment horizontal="center" wrapText="1"/>
    </xf>
    <xf numFmtId="182" fontId="13" fillId="2" borderId="10" xfId="0" applyNumberFormat="1" applyFont="1" applyFill="1" applyBorder="1" applyAlignment="1">
      <alignment horizontal="center" wrapText="1"/>
    </xf>
    <xf numFmtId="0" fontId="70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2" fontId="17" fillId="25" borderId="10" xfId="0" applyNumberFormat="1" applyFont="1" applyFill="1" applyBorder="1" applyAlignment="1">
      <alignment horizontal="center"/>
    </xf>
    <xf numFmtId="177" fontId="17" fillId="25" borderId="10" xfId="0" applyNumberFormat="1" applyFont="1" applyFill="1" applyBorder="1" applyAlignment="1">
      <alignment horizontal="center"/>
    </xf>
    <xf numFmtId="179" fontId="17" fillId="25" borderId="10" xfId="0" applyNumberFormat="1" applyFont="1" applyFill="1" applyBorder="1" applyAlignment="1">
      <alignment horizontal="center"/>
    </xf>
    <xf numFmtId="182" fontId="17" fillId="25" borderId="10" xfId="0" applyNumberFormat="1" applyFont="1" applyFill="1" applyBorder="1" applyAlignment="1">
      <alignment horizontal="center"/>
    </xf>
    <xf numFmtId="2" fontId="17" fillId="0" borderId="42" xfId="0" applyNumberFormat="1" applyFont="1" applyFill="1" applyBorder="1" applyAlignment="1">
      <alignment horizontal="center"/>
    </xf>
    <xf numFmtId="177" fontId="17" fillId="0" borderId="42" xfId="0" applyNumberFormat="1" applyFont="1" applyFill="1" applyBorder="1" applyAlignment="1">
      <alignment horizontal="center"/>
    </xf>
    <xf numFmtId="179" fontId="17" fillId="0" borderId="42" xfId="0" applyNumberFormat="1" applyFont="1" applyFill="1" applyBorder="1" applyAlignment="1">
      <alignment horizontal="center"/>
    </xf>
    <xf numFmtId="182" fontId="17" fillId="0" borderId="42" xfId="0" applyNumberFormat="1" applyFont="1" applyFill="1" applyBorder="1" applyAlignment="1">
      <alignment horizontal="center"/>
    </xf>
    <xf numFmtId="1" fontId="17" fillId="0" borderId="42" xfId="0" applyNumberFormat="1" applyFont="1" applyFill="1" applyBorder="1" applyAlignment="1">
      <alignment horizontal="center"/>
    </xf>
    <xf numFmtId="1" fontId="17" fillId="25" borderId="10" xfId="0" applyNumberFormat="1" applyFont="1" applyFill="1" applyBorder="1" applyAlignment="1">
      <alignment horizontal="center"/>
    </xf>
    <xf numFmtId="182" fontId="17" fillId="0" borderId="10" xfId="0" applyNumberFormat="1" applyFont="1" applyFill="1" applyBorder="1" applyAlignment="1">
      <alignment horizontal="center"/>
    </xf>
    <xf numFmtId="182" fontId="10" fillId="0" borderId="10" xfId="0" applyNumberFormat="1" applyFont="1" applyFill="1" applyBorder="1" applyAlignment="1">
      <alignment horizontal="center"/>
    </xf>
    <xf numFmtId="182" fontId="17" fillId="0" borderId="43" xfId="0" applyNumberFormat="1" applyFont="1" applyFill="1" applyBorder="1" applyAlignment="1">
      <alignment horizontal="center"/>
    </xf>
    <xf numFmtId="182" fontId="10" fillId="0" borderId="42" xfId="0" applyNumberFormat="1" applyFont="1" applyBorder="1" applyAlignment="1">
      <alignment horizontal="right"/>
    </xf>
    <xf numFmtId="182" fontId="35" fillId="0" borderId="42" xfId="0" applyNumberFormat="1" applyFont="1" applyBorder="1" applyAlignment="1">
      <alignment horizontal="right"/>
    </xf>
    <xf numFmtId="182" fontId="33" fillId="0" borderId="42" xfId="0" applyNumberFormat="1" applyFont="1" applyBorder="1" applyAlignment="1">
      <alignment horizontal="right"/>
    </xf>
    <xf numFmtId="182" fontId="17" fillId="26" borderId="10" xfId="0" applyNumberFormat="1" applyFont="1" applyFill="1" applyBorder="1" applyAlignment="1">
      <alignment horizontal="right"/>
    </xf>
    <xf numFmtId="182" fontId="16" fillId="0" borderId="42" xfId="0" applyNumberFormat="1" applyFont="1" applyBorder="1" applyAlignment="1">
      <alignment horizontal="right"/>
    </xf>
    <xf numFmtId="182" fontId="17" fillId="0" borderId="42" xfId="0" applyNumberFormat="1" applyFont="1" applyBorder="1" applyAlignment="1">
      <alignment horizontal="right"/>
    </xf>
    <xf numFmtId="177" fontId="73" fillId="0" borderId="39" xfId="0" applyNumberFormat="1" applyFont="1" applyBorder="1" applyAlignment="1">
      <alignment horizontal="center"/>
    </xf>
    <xf numFmtId="177" fontId="74" fillId="0" borderId="39" xfId="0" applyNumberFormat="1" applyFont="1" applyBorder="1" applyAlignment="1">
      <alignment horizontal="center"/>
    </xf>
    <xf numFmtId="182" fontId="74" fillId="0" borderId="39" xfId="0" applyNumberFormat="1" applyFont="1" applyBorder="1" applyAlignment="1">
      <alignment horizontal="center"/>
    </xf>
    <xf numFmtId="177" fontId="73" fillId="0" borderId="39" xfId="0" applyNumberFormat="1" applyFont="1" applyFill="1" applyBorder="1" applyAlignment="1">
      <alignment horizontal="center"/>
    </xf>
    <xf numFmtId="177" fontId="73" fillId="29" borderId="39" xfId="0" applyNumberFormat="1" applyFont="1" applyFill="1" applyBorder="1" applyAlignment="1">
      <alignment horizontal="center"/>
    </xf>
    <xf numFmtId="0" fontId="73" fillId="0" borderId="39" xfId="0" applyFont="1" applyFill="1" applyBorder="1" applyAlignment="1">
      <alignment horizontal="right"/>
    </xf>
    <xf numFmtId="0" fontId="73" fillId="30" borderId="10" xfId="0" applyFont="1" applyFill="1" applyBorder="1" applyAlignment="1">
      <alignment wrapText="1"/>
    </xf>
    <xf numFmtId="49" fontId="73" fillId="30" borderId="50" xfId="0" applyNumberFormat="1" applyFont="1" applyFill="1" applyBorder="1" applyAlignment="1">
      <alignment horizontal="center"/>
    </xf>
    <xf numFmtId="49" fontId="73" fillId="30" borderId="39" xfId="0" applyNumberFormat="1" applyFont="1" applyFill="1" applyBorder="1" applyAlignment="1">
      <alignment horizontal="center"/>
    </xf>
    <xf numFmtId="49" fontId="73" fillId="30" borderId="10" xfId="0" applyNumberFormat="1" applyFont="1" applyFill="1" applyBorder="1" applyAlignment="1">
      <alignment horizontal="center"/>
    </xf>
    <xf numFmtId="0" fontId="73" fillId="30" borderId="10" xfId="0" applyFont="1" applyFill="1" applyBorder="1" applyAlignment="1">
      <alignment horizontal="center" wrapText="1"/>
    </xf>
    <xf numFmtId="0" fontId="73" fillId="30" borderId="10" xfId="0" applyFont="1" applyFill="1" applyBorder="1" applyAlignment="1">
      <alignment horizontal="right"/>
    </xf>
    <xf numFmtId="0" fontId="73" fillId="30" borderId="0" xfId="0" applyFont="1" applyFill="1" applyAlignment="1">
      <alignment/>
    </xf>
    <xf numFmtId="49" fontId="73" fillId="30" borderId="39" xfId="0" applyNumberFormat="1" applyFont="1" applyFill="1" applyBorder="1" applyAlignment="1">
      <alignment horizontal="center" wrapText="1"/>
    </xf>
    <xf numFmtId="0" fontId="77" fillId="33" borderId="10" xfId="0" applyFont="1" applyFill="1" applyBorder="1" applyAlignment="1">
      <alignment horizontal="left" wrapText="1"/>
    </xf>
    <xf numFmtId="49" fontId="74" fillId="33" borderId="50" xfId="0" applyNumberFormat="1" applyFont="1" applyFill="1" applyBorder="1" applyAlignment="1">
      <alignment horizontal="center"/>
    </xf>
    <xf numFmtId="49" fontId="74" fillId="33" borderId="39" xfId="0" applyNumberFormat="1" applyFont="1" applyFill="1" applyBorder="1" applyAlignment="1">
      <alignment horizontal="center"/>
    </xf>
    <xf numFmtId="0" fontId="74" fillId="33" borderId="39" xfId="0" applyFont="1" applyFill="1" applyBorder="1" applyAlignment="1">
      <alignment horizontal="right"/>
    </xf>
    <xf numFmtId="0" fontId="74" fillId="33" borderId="0" xfId="0" applyFont="1" applyFill="1" applyAlignment="1">
      <alignment/>
    </xf>
    <xf numFmtId="2" fontId="73" fillId="33" borderId="39" xfId="0" applyNumberFormat="1" applyFont="1" applyFill="1" applyBorder="1" applyAlignment="1">
      <alignment horizontal="center"/>
    </xf>
    <xf numFmtId="0" fontId="7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7" fillId="25" borderId="20" xfId="0" applyNumberFormat="1" applyFont="1" applyFill="1" applyBorder="1" applyAlignment="1">
      <alignment horizontal="center" wrapText="1"/>
    </xf>
    <xf numFmtId="164" fontId="17" fillId="25" borderId="43" xfId="0" applyNumberFormat="1" applyFont="1" applyFill="1" applyBorder="1" applyAlignment="1">
      <alignment horizontal="center"/>
    </xf>
    <xf numFmtId="164" fontId="17" fillId="25" borderId="20" xfId="0" applyNumberFormat="1" applyFont="1" applyFill="1" applyBorder="1" applyAlignment="1">
      <alignment horizontal="center"/>
    </xf>
    <xf numFmtId="182" fontId="17" fillId="25" borderId="43" xfId="0" applyNumberFormat="1" applyFont="1" applyFill="1" applyBorder="1" applyAlignment="1">
      <alignment horizontal="center"/>
    </xf>
    <xf numFmtId="182" fontId="10" fillId="0" borderId="42" xfId="0" applyNumberFormat="1" applyFont="1" applyFill="1" applyBorder="1" applyAlignment="1">
      <alignment horizontal="center"/>
    </xf>
    <xf numFmtId="2" fontId="17" fillId="25" borderId="43" xfId="0" applyNumberFormat="1" applyFont="1" applyFill="1" applyBorder="1" applyAlignment="1">
      <alignment horizontal="center"/>
    </xf>
    <xf numFmtId="177" fontId="17" fillId="26" borderId="10" xfId="0" applyNumberFormat="1" applyFont="1" applyFill="1" applyBorder="1" applyAlignment="1">
      <alignment horizontal="right"/>
    </xf>
    <xf numFmtId="174" fontId="16" fillId="0" borderId="10" xfId="63" applyNumberFormat="1" applyFont="1" applyBorder="1" applyAlignment="1">
      <alignment horizontal="right"/>
    </xf>
    <xf numFmtId="177" fontId="74" fillId="0" borderId="1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38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wrapText="1"/>
    </xf>
    <xf numFmtId="0" fontId="18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71" fillId="0" borderId="0" xfId="0" applyFont="1" applyAlignment="1">
      <alignment horizontal="center"/>
    </xf>
    <xf numFmtId="49" fontId="73" fillId="0" borderId="21" xfId="0" applyNumberFormat="1" applyFont="1" applyFill="1" applyBorder="1" applyAlignment="1">
      <alignment horizontal="center" wrapText="1"/>
    </xf>
    <xf numFmtId="0" fontId="105" fillId="0" borderId="45" xfId="0" applyFont="1" applyBorder="1" applyAlignment="1">
      <alignment horizontal="center"/>
    </xf>
    <xf numFmtId="0" fontId="73" fillId="0" borderId="39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73" fillId="0" borderId="39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/>
    </xf>
    <xf numFmtId="0" fontId="73" fillId="0" borderId="45" xfId="0" applyFont="1" applyBorder="1" applyAlignment="1">
      <alignment wrapText="1"/>
    </xf>
    <xf numFmtId="0" fontId="73" fillId="0" borderId="42" xfId="0" applyFont="1" applyBorder="1" applyAlignment="1">
      <alignment wrapText="1"/>
    </xf>
    <xf numFmtId="0" fontId="7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4" fillId="0" borderId="0" xfId="0" applyFont="1" applyAlignment="1">
      <alignment horizontal="right" wrapText="1"/>
    </xf>
    <xf numFmtId="0" fontId="64" fillId="0" borderId="0" xfId="0" applyFont="1" applyAlignment="1">
      <alignment horizontal="right"/>
    </xf>
    <xf numFmtId="0" fontId="63" fillId="0" borderId="0" xfId="0" applyFont="1" applyAlignment="1">
      <alignment horizontal="right" wrapText="1"/>
    </xf>
    <xf numFmtId="0" fontId="71" fillId="0" borderId="0" xfId="0" applyFont="1" applyAlignment="1">
      <alignment wrapText="1"/>
    </xf>
    <xf numFmtId="0" fontId="0" fillId="0" borderId="39" xfId="0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80" fillId="0" borderId="45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emplate" xfId="53"/>
    <cellStyle name="Обычный_Книга2" xfId="54"/>
    <cellStyle name="Обычный_ОБЛАСТНОЙ 98 -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ugaeva\&#1084;&#1086;&#1074;&#1073;&#1072;&#1089;&#1082;&#1091;&#1085;&#1095;&#1072;&#1082;\Documents%20and%20Settings\User\&#1052;&#1086;&#1080;%20&#1076;&#1086;&#1082;&#1091;&#1084;&#1077;&#1085;&#1090;&#1099;\&#1041;&#1070;&#1044;&#1046;&#1045;&#1058;%20%202008\&#1059;&#1090;&#1086;&#1095;&#1085;&#1077;&#1085;&#1080;&#1077;%20%2030.09\&#8470;%2034%20%20&#1086;&#1090;%2025.06.08%20&#1059;&#1090;&#1086;&#1095;&#1085;&#1077;&#1085;&#1080;&#1103;%20%20&#1087;&#1088;&#1080;&#1083;&#1086;&#1078;&#1077;&#1085;&#1080;&#1103;%20&#1082;%20&#1073;&#1102;&#1076;&#1078;&#1077;&#1090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доходы"/>
      <sheetName val="разд. подраздел"/>
      <sheetName val="расход"/>
      <sheetName val="ист фин"/>
      <sheetName val="вид"/>
      <sheetName val="статья"/>
      <sheetName val="целевая "/>
      <sheetName val="0100"/>
      <sheetName val="0200"/>
      <sheetName val="0300"/>
      <sheetName val="0400"/>
      <sheetName val="0500"/>
      <sheetName val="0800 бюдж"/>
      <sheetName val="0800 пред"/>
      <sheetName val="0800 свод"/>
      <sheetName val="0900"/>
      <sheetName val="1000"/>
      <sheetName val="1100"/>
      <sheetName val="свод бюджет"/>
      <sheetName val="свод предпрен"/>
      <sheetName val="свод общий"/>
      <sheetName val="Новый общий свод"/>
      <sheetName val="Доходы с уточн"/>
      <sheetName val="Лист4"/>
    </sheetNames>
    <sheetDataSet>
      <sheetData sheetId="20">
        <row r="12">
          <cell r="M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Zeros="0" tabSelected="1" view="pageBreakPreview" zoomScale="70" zoomScaleNormal="120" zoomScaleSheetLayoutView="70" zoomScalePageLayoutView="0" workbookViewId="0" topLeftCell="A1">
      <selection activeCell="C26" sqref="C26"/>
    </sheetView>
  </sheetViews>
  <sheetFormatPr defaultColWidth="9.00390625" defaultRowHeight="12.75"/>
  <cols>
    <col min="1" max="1" width="84.125" style="458" customWidth="1"/>
    <col min="2" max="2" width="33.875" style="458" customWidth="1"/>
    <col min="3" max="3" width="17.00390625" style="458" customWidth="1"/>
    <col min="4" max="4" width="11.00390625" style="458" hidden="1" customWidth="1"/>
    <col min="5" max="5" width="10.125" style="458" hidden="1" customWidth="1"/>
    <col min="6" max="6" width="11.125" style="458" hidden="1" customWidth="1"/>
    <col min="7" max="7" width="9.375" style="458" hidden="1" customWidth="1"/>
    <col min="8" max="8" width="10.625" style="458" hidden="1" customWidth="1"/>
    <col min="9" max="9" width="8.875" style="458" hidden="1" customWidth="1"/>
    <col min="10" max="11" width="8.25390625" style="458" hidden="1" customWidth="1"/>
    <col min="12" max="12" width="10.625" style="458" hidden="1" customWidth="1"/>
    <col min="13" max="13" width="10.25390625" style="458" hidden="1" customWidth="1"/>
    <col min="14" max="15" width="11.375" style="458" hidden="1" customWidth="1"/>
    <col min="16" max="16" width="11.75390625" style="458" hidden="1" customWidth="1"/>
    <col min="17" max="17" width="10.875" style="458" hidden="1" customWidth="1"/>
    <col min="18" max="18" width="10.375" style="458" hidden="1" customWidth="1"/>
    <col min="19" max="19" width="10.75390625" style="458" hidden="1" customWidth="1"/>
    <col min="20" max="20" width="0.2421875" style="458" hidden="1" customWidth="1"/>
    <col min="21" max="21" width="13.625" style="458" hidden="1" customWidth="1"/>
    <col min="22" max="22" width="18.00390625" style="458" hidden="1" customWidth="1"/>
    <col min="23" max="23" width="10.375" style="458" customWidth="1"/>
    <col min="24" max="16384" width="9.125" style="458" customWidth="1"/>
  </cols>
  <sheetData>
    <row r="1" spans="2:21" ht="18" customHeight="1">
      <c r="B1" s="546" t="s">
        <v>954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U1" s="455"/>
    </row>
    <row r="2" spans="2:21" ht="15.75" customHeight="1">
      <c r="B2" s="546" t="s">
        <v>1230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U2" s="456"/>
    </row>
    <row r="3" spans="2:22" ht="15" customHeight="1">
      <c r="B3" s="546" t="s">
        <v>1273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U3" s="455"/>
      <c r="V3" s="455"/>
    </row>
    <row r="4" spans="2:21" ht="18" customHeight="1" hidden="1">
      <c r="B4" s="585"/>
      <c r="C4" s="405"/>
      <c r="D4" s="405"/>
      <c r="E4" s="405"/>
      <c r="F4" s="405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U4" s="459"/>
    </row>
    <row r="5" spans="1:3" ht="32.25" customHeight="1" hidden="1">
      <c r="A5" s="460"/>
      <c r="C5" s="130"/>
    </row>
    <row r="6" spans="1:19" ht="29.25" customHeight="1">
      <c r="A6" s="1131" t="s">
        <v>1228</v>
      </c>
      <c r="B6" s="1131"/>
      <c r="C6" s="1131"/>
      <c r="D6" s="1131"/>
      <c r="E6" s="1131"/>
      <c r="F6" s="1131"/>
      <c r="G6" s="1131"/>
      <c r="H6" s="1131"/>
      <c r="I6" s="1131"/>
      <c r="J6" s="1131"/>
      <c r="K6" s="1131"/>
      <c r="L6" s="1131"/>
      <c r="M6" s="1131"/>
      <c r="N6" s="1131"/>
      <c r="O6" s="1131"/>
      <c r="P6" s="1131"/>
      <c r="Q6" s="831"/>
      <c r="R6" s="831"/>
      <c r="S6" s="831"/>
    </row>
    <row r="7" spans="1:20" ht="24" customHeight="1">
      <c r="A7" s="1131" t="s">
        <v>1229</v>
      </c>
      <c r="B7" s="1131"/>
      <c r="C7" s="1131"/>
      <c r="D7" s="1131"/>
      <c r="E7" s="1131"/>
      <c r="F7" s="1131"/>
      <c r="G7" s="1131"/>
      <c r="H7" s="1131"/>
      <c r="I7" s="1131"/>
      <c r="J7" s="1131"/>
      <c r="K7" s="1131"/>
      <c r="L7" s="1131"/>
      <c r="M7" s="1131"/>
      <c r="N7" s="1131"/>
      <c r="O7" s="1131"/>
      <c r="P7" s="1131"/>
      <c r="Q7" s="831"/>
      <c r="R7" s="831"/>
      <c r="S7" s="831"/>
      <c r="T7" s="459"/>
    </row>
    <row r="8" spans="1:4" ht="18.75">
      <c r="A8" s="461"/>
      <c r="B8" s="462"/>
      <c r="C8" s="130"/>
      <c r="D8" s="516"/>
    </row>
    <row r="9" spans="1:2" ht="18.75" hidden="1">
      <c r="A9" s="463"/>
      <c r="B9" s="463"/>
    </row>
    <row r="10" spans="1:22" ht="45" customHeight="1">
      <c r="A10" s="464" t="s">
        <v>268</v>
      </c>
      <c r="B10" s="465" t="s">
        <v>269</v>
      </c>
      <c r="C10" s="466" t="s">
        <v>1231</v>
      </c>
      <c r="D10" s="467" t="s">
        <v>63</v>
      </c>
      <c r="E10" s="467" t="s">
        <v>171</v>
      </c>
      <c r="F10" s="467" t="s">
        <v>172</v>
      </c>
      <c r="G10" s="467" t="s">
        <v>173</v>
      </c>
      <c r="H10" s="468" t="s">
        <v>64</v>
      </c>
      <c r="I10" s="468" t="s">
        <v>493</v>
      </c>
      <c r="J10" s="468" t="s">
        <v>43</v>
      </c>
      <c r="K10" s="468" t="s">
        <v>44</v>
      </c>
      <c r="L10" s="469" t="s">
        <v>65</v>
      </c>
      <c r="M10" s="468" t="s">
        <v>928</v>
      </c>
      <c r="N10" s="468" t="s">
        <v>929</v>
      </c>
      <c r="O10" s="468" t="s">
        <v>930</v>
      </c>
      <c r="P10" s="467" t="s">
        <v>66</v>
      </c>
      <c r="Q10" s="468" t="s">
        <v>931</v>
      </c>
      <c r="R10" s="468" t="s">
        <v>932</v>
      </c>
      <c r="S10" s="468" t="s">
        <v>933</v>
      </c>
      <c r="U10" s="487" t="s">
        <v>1189</v>
      </c>
      <c r="V10" s="487" t="s">
        <v>1190</v>
      </c>
    </row>
    <row r="11" spans="1:22" ht="71.25" customHeight="1" hidden="1">
      <c r="A11" s="471"/>
      <c r="B11" s="472"/>
      <c r="C11" s="473">
        <v>2007</v>
      </c>
      <c r="D11" s="472" t="s">
        <v>424</v>
      </c>
      <c r="E11" s="472"/>
      <c r="F11" s="472"/>
      <c r="G11" s="472"/>
      <c r="H11" s="471" t="s">
        <v>425</v>
      </c>
      <c r="I11" s="474"/>
      <c r="J11" s="474"/>
      <c r="K11" s="474"/>
      <c r="L11" s="475" t="s">
        <v>426</v>
      </c>
      <c r="M11" s="475"/>
      <c r="N11" s="475"/>
      <c r="O11" s="475"/>
      <c r="P11" s="832" t="s">
        <v>427</v>
      </c>
      <c r="Q11" s="476"/>
      <c r="R11" s="476"/>
      <c r="S11" s="476"/>
      <c r="U11" s="468"/>
      <c r="V11" s="468"/>
    </row>
    <row r="12" spans="1:22" ht="18.75" hidden="1">
      <c r="A12" s="468"/>
      <c r="B12" s="476"/>
      <c r="C12" s="477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833"/>
      <c r="Q12" s="468"/>
      <c r="R12" s="468"/>
      <c r="S12" s="468"/>
      <c r="U12" s="468"/>
      <c r="V12" s="468"/>
    </row>
    <row r="13" spans="1:22" ht="18.75">
      <c r="A13" s="847" t="s">
        <v>528</v>
      </c>
      <c r="B13" s="479" t="s">
        <v>270</v>
      </c>
      <c r="C13" s="480">
        <f>C15+C26+C35+C57+C61+C76+C79+C80</f>
        <v>1280</v>
      </c>
      <c r="D13" s="480">
        <f>D15+D26+D35+D57+D61+D76</f>
        <v>1920</v>
      </c>
      <c r="E13" s="480">
        <f aca="true" t="shared" si="0" ref="E13:K13">E15+E26+E35+E57+E61+E76</f>
        <v>635</v>
      </c>
      <c r="F13" s="480">
        <f t="shared" si="0"/>
        <v>636</v>
      </c>
      <c r="G13" s="480">
        <f t="shared" si="0"/>
        <v>649</v>
      </c>
      <c r="H13" s="480">
        <f>H15+H26+H35+H57+H61+H76</f>
        <v>1951</v>
      </c>
      <c r="I13" s="480">
        <f t="shared" si="0"/>
        <v>650</v>
      </c>
      <c r="J13" s="480">
        <f t="shared" si="0"/>
        <v>650</v>
      </c>
      <c r="K13" s="480">
        <f t="shared" si="0"/>
        <v>651</v>
      </c>
      <c r="L13" s="480">
        <f aca="true" t="shared" si="1" ref="L13:S13">L15+L26+L35+L57+L61+L76</f>
        <v>2134</v>
      </c>
      <c r="M13" s="480">
        <f t="shared" si="1"/>
        <v>699</v>
      </c>
      <c r="N13" s="480">
        <f t="shared" si="1"/>
        <v>698</v>
      </c>
      <c r="O13" s="480">
        <f t="shared" si="1"/>
        <v>737</v>
      </c>
      <c r="P13" s="834">
        <f t="shared" si="1"/>
        <v>2650</v>
      </c>
      <c r="Q13" s="834">
        <f t="shared" si="1"/>
        <v>720</v>
      </c>
      <c r="R13" s="834">
        <f t="shared" si="1"/>
        <v>969</v>
      </c>
      <c r="S13" s="480">
        <f t="shared" si="1"/>
        <v>961</v>
      </c>
      <c r="U13" s="468"/>
      <c r="V13" s="513">
        <f>C13+U13</f>
        <v>1280</v>
      </c>
    </row>
    <row r="14" spans="1:22" ht="18.75">
      <c r="A14" s="468"/>
      <c r="B14" s="479"/>
      <c r="C14" s="480">
        <f>SUM(D14:P14)</f>
        <v>0</v>
      </c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835"/>
      <c r="Q14" s="477"/>
      <c r="R14" s="477"/>
      <c r="S14" s="477"/>
      <c r="U14" s="468"/>
      <c r="V14" s="494">
        <f aca="true" t="shared" si="2" ref="V14:V79">C14+U14</f>
        <v>0</v>
      </c>
    </row>
    <row r="15" spans="1:22" ht="40.5" customHeight="1">
      <c r="A15" s="481" t="s">
        <v>271</v>
      </c>
      <c r="B15" s="478" t="s">
        <v>272</v>
      </c>
      <c r="C15" s="480">
        <v>130</v>
      </c>
      <c r="D15" s="480">
        <f>D16+D17</f>
        <v>1750</v>
      </c>
      <c r="E15" s="480">
        <f>E17</f>
        <v>583</v>
      </c>
      <c r="F15" s="480">
        <f>F17</f>
        <v>583</v>
      </c>
      <c r="G15" s="480">
        <f>G17</f>
        <v>584</v>
      </c>
      <c r="H15" s="480">
        <f>H16+H17</f>
        <v>1750</v>
      </c>
      <c r="I15" s="480">
        <f>I17</f>
        <v>583</v>
      </c>
      <c r="J15" s="480">
        <f>J17</f>
        <v>583</v>
      </c>
      <c r="K15" s="480">
        <f>K17</f>
        <v>584</v>
      </c>
      <c r="L15" s="480">
        <f>L16+L17</f>
        <v>1750</v>
      </c>
      <c r="M15" s="480">
        <f>M17</f>
        <v>583</v>
      </c>
      <c r="N15" s="480">
        <f>N17</f>
        <v>583</v>
      </c>
      <c r="O15" s="480">
        <f>O17</f>
        <v>584</v>
      </c>
      <c r="P15" s="834">
        <f>P16+P17</f>
        <v>1750</v>
      </c>
      <c r="Q15" s="480">
        <f>Q17</f>
        <v>583</v>
      </c>
      <c r="R15" s="480">
        <f>R17</f>
        <v>583</v>
      </c>
      <c r="S15" s="480">
        <f>S17</f>
        <v>584</v>
      </c>
      <c r="U15" s="468"/>
      <c r="V15" s="494">
        <f t="shared" si="2"/>
        <v>130</v>
      </c>
    </row>
    <row r="16" spans="1:22" ht="18.75">
      <c r="A16" s="482"/>
      <c r="B16" s="479"/>
      <c r="C16" s="480">
        <f>SUM(D16:P16)</f>
        <v>0</v>
      </c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835"/>
      <c r="Q16" s="477"/>
      <c r="R16" s="477"/>
      <c r="S16" s="477"/>
      <c r="U16" s="468"/>
      <c r="V16" s="494">
        <f t="shared" si="2"/>
        <v>0</v>
      </c>
    </row>
    <row r="17" spans="1:22" ht="27.75" customHeight="1">
      <c r="A17" s="483" t="s">
        <v>273</v>
      </c>
      <c r="B17" s="479" t="s">
        <v>274</v>
      </c>
      <c r="C17" s="480">
        <v>130</v>
      </c>
      <c r="D17" s="480">
        <f>D18+D19+D22+D23+D24</f>
        <v>1750</v>
      </c>
      <c r="E17" s="477">
        <f>E19</f>
        <v>583</v>
      </c>
      <c r="F17" s="477">
        <f>F19</f>
        <v>583</v>
      </c>
      <c r="G17" s="477">
        <f>G19</f>
        <v>584</v>
      </c>
      <c r="H17" s="480">
        <f>H18+H19+H22+H23+H24</f>
        <v>1750</v>
      </c>
      <c r="I17" s="477">
        <f>I19</f>
        <v>583</v>
      </c>
      <c r="J17" s="477">
        <f>J19</f>
        <v>583</v>
      </c>
      <c r="K17" s="477">
        <f>K19</f>
        <v>584</v>
      </c>
      <c r="L17" s="480">
        <f>L18+L19+L22+L23+L24</f>
        <v>1750</v>
      </c>
      <c r="M17" s="477">
        <f>M19</f>
        <v>583</v>
      </c>
      <c r="N17" s="477">
        <f>N19</f>
        <v>583</v>
      </c>
      <c r="O17" s="477">
        <f>O19</f>
        <v>584</v>
      </c>
      <c r="P17" s="834">
        <f>P18+P19+P22+P23+P24</f>
        <v>1750</v>
      </c>
      <c r="Q17" s="477">
        <f>Q19</f>
        <v>583</v>
      </c>
      <c r="R17" s="477">
        <f>R19</f>
        <v>583</v>
      </c>
      <c r="S17" s="477">
        <f>S19</f>
        <v>584</v>
      </c>
      <c r="U17" s="468"/>
      <c r="V17" s="494">
        <f t="shared" si="2"/>
        <v>130</v>
      </c>
    </row>
    <row r="18" spans="1:22" ht="45" customHeight="1">
      <c r="A18" s="484" t="s">
        <v>706</v>
      </c>
      <c r="B18" s="479" t="s">
        <v>401</v>
      </c>
      <c r="C18" s="480">
        <f>SUM(D18:P18)</f>
        <v>0</v>
      </c>
      <c r="D18" s="480"/>
      <c r="E18" s="477"/>
      <c r="F18" s="477"/>
      <c r="G18" s="477"/>
      <c r="H18" s="480"/>
      <c r="I18" s="477"/>
      <c r="J18" s="477"/>
      <c r="K18" s="477"/>
      <c r="L18" s="480"/>
      <c r="M18" s="477"/>
      <c r="N18" s="477"/>
      <c r="O18" s="477"/>
      <c r="P18" s="834"/>
      <c r="Q18" s="477"/>
      <c r="R18" s="477"/>
      <c r="S18" s="477"/>
      <c r="U18" s="468"/>
      <c r="V18" s="494">
        <f t="shared" si="2"/>
        <v>0</v>
      </c>
    </row>
    <row r="19" spans="1:22" ht="46.5" customHeight="1">
      <c r="A19" s="483" t="s">
        <v>435</v>
      </c>
      <c r="B19" s="479" t="s">
        <v>402</v>
      </c>
      <c r="C19" s="480">
        <v>130</v>
      </c>
      <c r="D19" s="480">
        <f>D20+D21</f>
        <v>1750</v>
      </c>
      <c r="E19" s="480">
        <f>E20+E21</f>
        <v>583</v>
      </c>
      <c r="F19" s="480">
        <f>F20+F21</f>
        <v>583</v>
      </c>
      <c r="G19" s="480">
        <f>G20+G21</f>
        <v>584</v>
      </c>
      <c r="H19" s="480">
        <f>H20+H21</f>
        <v>1750</v>
      </c>
      <c r="I19" s="477">
        <f>I20</f>
        <v>583</v>
      </c>
      <c r="J19" s="477">
        <f>J20</f>
        <v>583</v>
      </c>
      <c r="K19" s="477">
        <f>K20</f>
        <v>584</v>
      </c>
      <c r="L19" s="480">
        <f>L20+L21</f>
        <v>1750</v>
      </c>
      <c r="M19" s="477">
        <f>M20</f>
        <v>583</v>
      </c>
      <c r="N19" s="477">
        <f>N20</f>
        <v>583</v>
      </c>
      <c r="O19" s="477">
        <f>O20</f>
        <v>584</v>
      </c>
      <c r="P19" s="834">
        <f>P20+P21</f>
        <v>1750</v>
      </c>
      <c r="Q19" s="477">
        <f>Q20</f>
        <v>583</v>
      </c>
      <c r="R19" s="477">
        <f>R20</f>
        <v>583</v>
      </c>
      <c r="S19" s="477">
        <f>S20</f>
        <v>584</v>
      </c>
      <c r="U19" s="468"/>
      <c r="V19" s="494">
        <f t="shared" si="2"/>
        <v>130</v>
      </c>
    </row>
    <row r="20" spans="1:22" ht="92.25" customHeight="1">
      <c r="A20" s="483" t="s">
        <v>436</v>
      </c>
      <c r="B20" s="479" t="s">
        <v>403</v>
      </c>
      <c r="C20" s="480">
        <v>130</v>
      </c>
      <c r="D20" s="480">
        <v>1750</v>
      </c>
      <c r="E20" s="477">
        <v>583</v>
      </c>
      <c r="F20" s="477">
        <v>583</v>
      </c>
      <c r="G20" s="477">
        <v>584</v>
      </c>
      <c r="H20" s="480">
        <v>1750</v>
      </c>
      <c r="I20" s="477">
        <v>583</v>
      </c>
      <c r="J20" s="477">
        <v>583</v>
      </c>
      <c r="K20" s="477">
        <v>584</v>
      </c>
      <c r="L20" s="480">
        <v>1750</v>
      </c>
      <c r="M20" s="477">
        <v>583</v>
      </c>
      <c r="N20" s="477">
        <v>583</v>
      </c>
      <c r="O20" s="477">
        <v>584</v>
      </c>
      <c r="P20" s="834">
        <v>1750</v>
      </c>
      <c r="Q20" s="477">
        <v>583</v>
      </c>
      <c r="R20" s="477">
        <v>583</v>
      </c>
      <c r="S20" s="477">
        <v>584</v>
      </c>
      <c r="U20" s="468"/>
      <c r="V20" s="494">
        <f t="shared" si="2"/>
        <v>130</v>
      </c>
    </row>
    <row r="21" spans="1:22" ht="18.75" hidden="1">
      <c r="A21" s="485" t="s">
        <v>275</v>
      </c>
      <c r="B21" s="479" t="s">
        <v>404</v>
      </c>
      <c r="C21" s="480">
        <f>SUM(D21:P21)</f>
        <v>0</v>
      </c>
      <c r="D21" s="480"/>
      <c r="E21" s="477"/>
      <c r="F21" s="477"/>
      <c r="G21" s="477"/>
      <c r="H21" s="480"/>
      <c r="I21" s="477"/>
      <c r="J21" s="477"/>
      <c r="K21" s="477"/>
      <c r="L21" s="480"/>
      <c r="M21" s="477"/>
      <c r="N21" s="477"/>
      <c r="O21" s="477"/>
      <c r="P21" s="834"/>
      <c r="Q21" s="477"/>
      <c r="R21" s="477"/>
      <c r="S21" s="477"/>
      <c r="U21" s="468"/>
      <c r="V21" s="494">
        <f t="shared" si="2"/>
        <v>0</v>
      </c>
    </row>
    <row r="22" spans="1:22" ht="21" customHeight="1" hidden="1">
      <c r="A22" s="485" t="s">
        <v>276</v>
      </c>
      <c r="B22" s="479" t="s">
        <v>405</v>
      </c>
      <c r="C22" s="480">
        <f>SUM(D22:P22)</f>
        <v>0</v>
      </c>
      <c r="D22" s="480"/>
      <c r="E22" s="477"/>
      <c r="F22" s="477"/>
      <c r="G22" s="477"/>
      <c r="H22" s="480"/>
      <c r="I22" s="477"/>
      <c r="J22" s="477"/>
      <c r="K22" s="477"/>
      <c r="L22" s="480"/>
      <c r="M22" s="477"/>
      <c r="N22" s="477"/>
      <c r="O22" s="477"/>
      <c r="P22" s="834"/>
      <c r="Q22" s="477"/>
      <c r="R22" s="477"/>
      <c r="S22" s="477"/>
      <c r="U22" s="468"/>
      <c r="V22" s="494">
        <f t="shared" si="2"/>
        <v>0</v>
      </c>
    </row>
    <row r="23" spans="1:22" ht="18" customHeight="1" hidden="1">
      <c r="A23" s="485" t="s">
        <v>277</v>
      </c>
      <c r="B23" s="479" t="s">
        <v>406</v>
      </c>
      <c r="C23" s="480">
        <f>SUM(D23:P23)</f>
        <v>0</v>
      </c>
      <c r="D23" s="480"/>
      <c r="E23" s="477"/>
      <c r="F23" s="477"/>
      <c r="G23" s="477"/>
      <c r="H23" s="480"/>
      <c r="I23" s="477"/>
      <c r="J23" s="477"/>
      <c r="K23" s="477"/>
      <c r="L23" s="480"/>
      <c r="M23" s="477"/>
      <c r="N23" s="477"/>
      <c r="O23" s="477"/>
      <c r="P23" s="834"/>
      <c r="Q23" s="477"/>
      <c r="R23" s="477"/>
      <c r="S23" s="477"/>
      <c r="U23" s="468"/>
      <c r="V23" s="494">
        <f t="shared" si="2"/>
        <v>0</v>
      </c>
    </row>
    <row r="24" spans="1:22" ht="16.5" customHeight="1" hidden="1">
      <c r="A24" s="485" t="s">
        <v>278</v>
      </c>
      <c r="B24" s="479" t="s">
        <v>407</v>
      </c>
      <c r="C24" s="480">
        <f>SUM(D24:P24)</f>
        <v>0</v>
      </c>
      <c r="D24" s="480"/>
      <c r="E24" s="477"/>
      <c r="F24" s="477"/>
      <c r="G24" s="477"/>
      <c r="H24" s="480"/>
      <c r="I24" s="477"/>
      <c r="J24" s="477"/>
      <c r="K24" s="477"/>
      <c r="L24" s="480"/>
      <c r="M24" s="477"/>
      <c r="N24" s="477"/>
      <c r="O24" s="477"/>
      <c r="P24" s="834"/>
      <c r="Q24" s="477"/>
      <c r="R24" s="477"/>
      <c r="S24" s="477"/>
      <c r="U24" s="468"/>
      <c r="V24" s="494">
        <f t="shared" si="2"/>
        <v>0</v>
      </c>
    </row>
    <row r="25" spans="1:22" ht="58.5" customHeight="1" hidden="1">
      <c r="A25" s="483" t="s">
        <v>439</v>
      </c>
      <c r="B25" s="479" t="s">
        <v>404</v>
      </c>
      <c r="C25" s="480">
        <f>SUM(D25:P25)</f>
        <v>0</v>
      </c>
      <c r="D25" s="480"/>
      <c r="E25" s="477"/>
      <c r="F25" s="477"/>
      <c r="G25" s="477"/>
      <c r="H25" s="480"/>
      <c r="I25" s="477"/>
      <c r="J25" s="477"/>
      <c r="K25" s="477"/>
      <c r="L25" s="480"/>
      <c r="M25" s="477"/>
      <c r="N25" s="477"/>
      <c r="O25" s="477"/>
      <c r="P25" s="834"/>
      <c r="Q25" s="477"/>
      <c r="R25" s="477"/>
      <c r="S25" s="477"/>
      <c r="U25" s="468"/>
      <c r="V25" s="494">
        <f t="shared" si="2"/>
        <v>0</v>
      </c>
    </row>
    <row r="26" spans="1:22" ht="19.5">
      <c r="A26" s="486" t="s">
        <v>279</v>
      </c>
      <c r="B26" s="479" t="s">
        <v>441</v>
      </c>
      <c r="C26" s="480">
        <f>C27</f>
        <v>16</v>
      </c>
      <c r="D26" s="480">
        <f>D27+D30+D31</f>
        <v>2</v>
      </c>
      <c r="E26" s="477">
        <f>E27</f>
        <v>0</v>
      </c>
      <c r="F26" s="477">
        <f>F27</f>
        <v>1</v>
      </c>
      <c r="G26" s="477">
        <f>G27</f>
        <v>1</v>
      </c>
      <c r="H26" s="480">
        <f>H27+H30+H31</f>
        <v>2</v>
      </c>
      <c r="I26" s="477">
        <f>I27</f>
        <v>1</v>
      </c>
      <c r="J26" s="477">
        <f>J27</f>
        <v>1</v>
      </c>
      <c r="K26" s="477">
        <f>K27</f>
        <v>0</v>
      </c>
      <c r="L26" s="480">
        <f>L27+L30+L31</f>
        <v>2</v>
      </c>
      <c r="M26" s="477">
        <f>M27</f>
        <v>1</v>
      </c>
      <c r="N26" s="477"/>
      <c r="O26" s="477">
        <f>O27</f>
        <v>1</v>
      </c>
      <c r="P26" s="834">
        <f>P27+P30+P31</f>
        <v>2</v>
      </c>
      <c r="Q26" s="477">
        <f>Q27</f>
        <v>1</v>
      </c>
      <c r="R26" s="477">
        <f>R27</f>
        <v>1</v>
      </c>
      <c r="S26" s="477">
        <f>S27</f>
        <v>0</v>
      </c>
      <c r="U26" s="468"/>
      <c r="V26" s="494">
        <f t="shared" si="2"/>
        <v>16</v>
      </c>
    </row>
    <row r="27" spans="1:22" ht="48" customHeight="1">
      <c r="A27" s="487" t="s">
        <v>440</v>
      </c>
      <c r="B27" s="479" t="s">
        <v>442</v>
      </c>
      <c r="C27" s="480">
        <v>16</v>
      </c>
      <c r="D27" s="480">
        <f aca="true" t="shared" si="3" ref="D27:M27">D32</f>
        <v>2</v>
      </c>
      <c r="E27" s="477">
        <f t="shared" si="3"/>
        <v>0</v>
      </c>
      <c r="F27" s="477">
        <f t="shared" si="3"/>
        <v>1</v>
      </c>
      <c r="G27" s="477">
        <f t="shared" si="3"/>
        <v>1</v>
      </c>
      <c r="H27" s="480">
        <f t="shared" si="3"/>
        <v>2</v>
      </c>
      <c r="I27" s="477">
        <f t="shared" si="3"/>
        <v>1</v>
      </c>
      <c r="J27" s="477">
        <f t="shared" si="3"/>
        <v>1</v>
      </c>
      <c r="K27" s="477">
        <f t="shared" si="3"/>
        <v>0</v>
      </c>
      <c r="L27" s="480">
        <f t="shared" si="3"/>
        <v>2</v>
      </c>
      <c r="M27" s="477">
        <f t="shared" si="3"/>
        <v>1</v>
      </c>
      <c r="N27" s="477"/>
      <c r="O27" s="477">
        <f>O32</f>
        <v>1</v>
      </c>
      <c r="P27" s="834">
        <f>P32</f>
        <v>2</v>
      </c>
      <c r="Q27" s="477">
        <f>Q32</f>
        <v>1</v>
      </c>
      <c r="R27" s="477">
        <f>R32</f>
        <v>1</v>
      </c>
      <c r="S27" s="477">
        <f>S32</f>
        <v>0</v>
      </c>
      <c r="U27" s="468"/>
      <c r="V27" s="494">
        <f t="shared" si="2"/>
        <v>16</v>
      </c>
    </row>
    <row r="28" spans="1:22" ht="18.75" hidden="1">
      <c r="A28" s="468" t="s">
        <v>309</v>
      </c>
      <c r="B28" s="479" t="s">
        <v>408</v>
      </c>
      <c r="C28" s="480">
        <f>SUM(D28:P28)</f>
        <v>0</v>
      </c>
      <c r="D28" s="480"/>
      <c r="E28" s="477"/>
      <c r="F28" s="477"/>
      <c r="G28" s="477"/>
      <c r="H28" s="480"/>
      <c r="I28" s="477"/>
      <c r="J28" s="477"/>
      <c r="K28" s="477"/>
      <c r="L28" s="480"/>
      <c r="M28" s="477"/>
      <c r="N28" s="477"/>
      <c r="O28" s="477"/>
      <c r="P28" s="834"/>
      <c r="Q28" s="477"/>
      <c r="R28" s="477"/>
      <c r="S28" s="477"/>
      <c r="U28" s="468"/>
      <c r="V28" s="494">
        <f t="shared" si="2"/>
        <v>0</v>
      </c>
    </row>
    <row r="29" spans="1:22" ht="18.75" hidden="1">
      <c r="A29" s="468" t="s">
        <v>316</v>
      </c>
      <c r="B29" s="479" t="s">
        <v>409</v>
      </c>
      <c r="C29" s="480">
        <f>SUM(D29:P29)</f>
        <v>0</v>
      </c>
      <c r="D29" s="480"/>
      <c r="E29" s="477"/>
      <c r="F29" s="477"/>
      <c r="G29" s="477"/>
      <c r="H29" s="480"/>
      <c r="I29" s="477"/>
      <c r="J29" s="477"/>
      <c r="K29" s="477"/>
      <c r="L29" s="480"/>
      <c r="M29" s="477"/>
      <c r="N29" s="477"/>
      <c r="O29" s="477"/>
      <c r="P29" s="834"/>
      <c r="Q29" s="477"/>
      <c r="R29" s="477"/>
      <c r="S29" s="477"/>
      <c r="U29" s="468"/>
      <c r="V29" s="494">
        <f t="shared" si="2"/>
        <v>0</v>
      </c>
    </row>
    <row r="30" spans="1:22" ht="18.75" hidden="1">
      <c r="A30" s="468" t="s">
        <v>280</v>
      </c>
      <c r="B30" s="479" t="s">
        <v>410</v>
      </c>
      <c r="C30" s="480">
        <f>SUM(D30:P30)</f>
        <v>0</v>
      </c>
      <c r="D30" s="480"/>
      <c r="E30" s="477"/>
      <c r="F30" s="477"/>
      <c r="G30" s="477"/>
      <c r="H30" s="480"/>
      <c r="I30" s="477"/>
      <c r="J30" s="477"/>
      <c r="K30" s="477"/>
      <c r="L30" s="480"/>
      <c r="M30" s="477"/>
      <c r="N30" s="477"/>
      <c r="O30" s="477"/>
      <c r="P30" s="834"/>
      <c r="Q30" s="477"/>
      <c r="R30" s="477"/>
      <c r="S30" s="477"/>
      <c r="U30" s="468"/>
      <c r="V30" s="494">
        <f t="shared" si="2"/>
        <v>0</v>
      </c>
    </row>
    <row r="31" spans="1:22" ht="18.75" hidden="1">
      <c r="A31" s="468" t="s">
        <v>281</v>
      </c>
      <c r="B31" s="479" t="s">
        <v>411</v>
      </c>
      <c r="C31" s="480">
        <f>SUM(D31:P31)</f>
        <v>0</v>
      </c>
      <c r="D31" s="845"/>
      <c r="E31" s="488"/>
      <c r="F31" s="488"/>
      <c r="G31" s="488"/>
      <c r="H31" s="845"/>
      <c r="I31" s="488"/>
      <c r="J31" s="488"/>
      <c r="K31" s="488"/>
      <c r="L31" s="845"/>
      <c r="M31" s="488"/>
      <c r="N31" s="488"/>
      <c r="O31" s="488"/>
      <c r="P31" s="842"/>
      <c r="Q31" s="488"/>
      <c r="R31" s="488"/>
      <c r="S31" s="488"/>
      <c r="U31" s="468"/>
      <c r="V31" s="494">
        <f t="shared" si="2"/>
        <v>0</v>
      </c>
    </row>
    <row r="32" spans="1:22" ht="52.5" customHeight="1">
      <c r="A32" s="487" t="s">
        <v>1233</v>
      </c>
      <c r="B32" s="479" t="s">
        <v>1232</v>
      </c>
      <c r="C32" s="480">
        <v>7</v>
      </c>
      <c r="D32" s="480">
        <v>2</v>
      </c>
      <c r="E32" s="477"/>
      <c r="F32" s="477">
        <v>1</v>
      </c>
      <c r="G32" s="477">
        <v>1</v>
      </c>
      <c r="H32" s="480">
        <v>2</v>
      </c>
      <c r="I32" s="477">
        <v>1</v>
      </c>
      <c r="J32" s="477">
        <v>1</v>
      </c>
      <c r="K32" s="477"/>
      <c r="L32" s="480">
        <v>2</v>
      </c>
      <c r="M32" s="477">
        <v>1</v>
      </c>
      <c r="N32" s="477"/>
      <c r="O32" s="477">
        <v>1</v>
      </c>
      <c r="P32" s="834">
        <v>2</v>
      </c>
      <c r="Q32" s="477">
        <v>1</v>
      </c>
      <c r="R32" s="477">
        <v>1</v>
      </c>
      <c r="S32" s="477"/>
      <c r="U32" s="468"/>
      <c r="V32" s="494">
        <f t="shared" si="2"/>
        <v>7</v>
      </c>
    </row>
    <row r="33" spans="1:22" ht="52.5" customHeight="1">
      <c r="A33" s="487" t="s">
        <v>1234</v>
      </c>
      <c r="B33" s="479" t="s">
        <v>1235</v>
      </c>
      <c r="C33" s="480">
        <v>9</v>
      </c>
      <c r="D33" s="480"/>
      <c r="E33" s="477"/>
      <c r="F33" s="477"/>
      <c r="G33" s="477"/>
      <c r="H33" s="480"/>
      <c r="I33" s="477"/>
      <c r="J33" s="477"/>
      <c r="K33" s="477"/>
      <c r="L33" s="480"/>
      <c r="M33" s="477"/>
      <c r="N33" s="477"/>
      <c r="O33" s="477"/>
      <c r="P33" s="834"/>
      <c r="Q33" s="477"/>
      <c r="R33" s="477"/>
      <c r="S33" s="477"/>
      <c r="U33" s="468"/>
      <c r="V33" s="494">
        <f t="shared" si="2"/>
        <v>9</v>
      </c>
    </row>
    <row r="34" spans="1:22" ht="65.25" customHeight="1">
      <c r="A34" s="487" t="s">
        <v>312</v>
      </c>
      <c r="B34" s="479" t="s">
        <v>313</v>
      </c>
      <c r="C34" s="480"/>
      <c r="D34" s="480"/>
      <c r="E34" s="477"/>
      <c r="F34" s="477"/>
      <c r="G34" s="477"/>
      <c r="H34" s="480"/>
      <c r="I34" s="477"/>
      <c r="J34" s="477"/>
      <c r="K34" s="477"/>
      <c r="L34" s="480"/>
      <c r="M34" s="477"/>
      <c r="N34" s="477"/>
      <c r="O34" s="477"/>
      <c r="P34" s="834"/>
      <c r="Q34" s="477"/>
      <c r="R34" s="477"/>
      <c r="S34" s="477"/>
      <c r="U34" s="468"/>
      <c r="V34" s="494">
        <f t="shared" si="2"/>
        <v>0</v>
      </c>
    </row>
    <row r="35" spans="1:22" ht="19.5">
      <c r="A35" s="489" t="s">
        <v>282</v>
      </c>
      <c r="B35" s="476" t="s">
        <v>443</v>
      </c>
      <c r="C35" s="480">
        <v>708</v>
      </c>
      <c r="D35" s="480">
        <f>D36+D39+D42</f>
        <v>9</v>
      </c>
      <c r="E35" s="477">
        <f aca="true" t="shared" si="4" ref="E35:L35">E36+E39+E42</f>
        <v>0</v>
      </c>
      <c r="F35" s="477">
        <f t="shared" si="4"/>
        <v>0</v>
      </c>
      <c r="G35" s="477">
        <f t="shared" si="4"/>
        <v>9</v>
      </c>
      <c r="H35" s="480">
        <f t="shared" si="4"/>
        <v>30</v>
      </c>
      <c r="I35" s="477">
        <f t="shared" si="4"/>
        <v>10</v>
      </c>
      <c r="J35" s="477">
        <f t="shared" si="4"/>
        <v>10</v>
      </c>
      <c r="K35" s="477">
        <f t="shared" si="4"/>
        <v>10</v>
      </c>
      <c r="L35" s="480">
        <f t="shared" si="4"/>
        <v>214</v>
      </c>
      <c r="M35" s="477">
        <f aca="true" t="shared" si="5" ref="M35:S35">M36+M39+M42</f>
        <v>60</v>
      </c>
      <c r="N35" s="477">
        <f t="shared" si="5"/>
        <v>60</v>
      </c>
      <c r="O35" s="477">
        <f t="shared" si="5"/>
        <v>94</v>
      </c>
      <c r="P35" s="834">
        <f t="shared" si="5"/>
        <v>744</v>
      </c>
      <c r="Q35" s="835">
        <f t="shared" si="5"/>
        <v>84</v>
      </c>
      <c r="R35" s="835">
        <f t="shared" si="5"/>
        <v>335</v>
      </c>
      <c r="S35" s="477">
        <f t="shared" si="5"/>
        <v>325</v>
      </c>
      <c r="U35" s="468"/>
      <c r="V35" s="494">
        <f t="shared" si="2"/>
        <v>708</v>
      </c>
    </row>
    <row r="36" spans="1:22" ht="18.75">
      <c r="A36" s="468" t="s">
        <v>283</v>
      </c>
      <c r="B36" s="479" t="s">
        <v>412</v>
      </c>
      <c r="C36" s="480">
        <f>C38</f>
        <v>7</v>
      </c>
      <c r="D36" s="480">
        <f>D37+D38</f>
        <v>0</v>
      </c>
      <c r="E36" s="477"/>
      <c r="F36" s="477"/>
      <c r="G36" s="477"/>
      <c r="H36" s="480">
        <f>H37+H38</f>
        <v>0</v>
      </c>
      <c r="I36" s="477"/>
      <c r="J36" s="477"/>
      <c r="K36" s="477"/>
      <c r="L36" s="480">
        <f>L37+L38</f>
        <v>150</v>
      </c>
      <c r="M36" s="477">
        <f>M38</f>
        <v>50</v>
      </c>
      <c r="N36" s="477">
        <f>N38</f>
        <v>50</v>
      </c>
      <c r="O36" s="477">
        <f>O38</f>
        <v>50</v>
      </c>
      <c r="P36" s="834">
        <f>P37+P38</f>
        <v>150</v>
      </c>
      <c r="Q36" s="477">
        <f>Q38</f>
        <v>50</v>
      </c>
      <c r="R36" s="477">
        <f>R38</f>
        <v>50</v>
      </c>
      <c r="S36" s="477">
        <f>S38</f>
        <v>50</v>
      </c>
      <c r="U36" s="468"/>
      <c r="V36" s="494">
        <f t="shared" si="2"/>
        <v>7</v>
      </c>
    </row>
    <row r="37" spans="1:22" ht="18.75" hidden="1">
      <c r="A37" s="468"/>
      <c r="B37" s="479"/>
      <c r="C37" s="480">
        <f>SUM(D37:P37)</f>
        <v>0</v>
      </c>
      <c r="D37" s="480"/>
      <c r="E37" s="477"/>
      <c r="F37" s="477"/>
      <c r="G37" s="477"/>
      <c r="H37" s="480"/>
      <c r="I37" s="477"/>
      <c r="J37" s="477"/>
      <c r="K37" s="477"/>
      <c r="L37" s="480"/>
      <c r="M37" s="477"/>
      <c r="N37" s="477"/>
      <c r="O37" s="477"/>
      <c r="P37" s="834"/>
      <c r="Q37" s="477"/>
      <c r="R37" s="477"/>
      <c r="S37" s="477"/>
      <c r="U37" s="468"/>
      <c r="V37" s="494">
        <f t="shared" si="2"/>
        <v>0</v>
      </c>
    </row>
    <row r="38" spans="1:22" ht="37.5" customHeight="1">
      <c r="A38" s="487" t="s">
        <v>471</v>
      </c>
      <c r="B38" s="479" t="s">
        <v>413</v>
      </c>
      <c r="C38" s="480">
        <v>7</v>
      </c>
      <c r="D38" s="480">
        <v>0</v>
      </c>
      <c r="E38" s="477"/>
      <c r="F38" s="477"/>
      <c r="G38" s="477"/>
      <c r="H38" s="480">
        <v>0</v>
      </c>
      <c r="I38" s="477"/>
      <c r="J38" s="477"/>
      <c r="K38" s="477">
        <v>0</v>
      </c>
      <c r="L38" s="480">
        <v>150</v>
      </c>
      <c r="M38" s="477">
        <v>50</v>
      </c>
      <c r="N38" s="477">
        <v>50</v>
      </c>
      <c r="O38" s="477">
        <v>50</v>
      </c>
      <c r="P38" s="834">
        <v>150</v>
      </c>
      <c r="Q38" s="477">
        <v>50</v>
      </c>
      <c r="R38" s="477">
        <v>50</v>
      </c>
      <c r="S38" s="477">
        <v>50</v>
      </c>
      <c r="U38" s="468"/>
      <c r="V38" s="494">
        <f t="shared" si="2"/>
        <v>7</v>
      </c>
    </row>
    <row r="39" spans="1:22" ht="29.25" customHeight="1">
      <c r="A39" s="487" t="s">
        <v>482</v>
      </c>
      <c r="B39" s="479" t="s">
        <v>481</v>
      </c>
      <c r="C39" s="480">
        <f>C40+C41</f>
        <v>0</v>
      </c>
      <c r="D39" s="480">
        <f>D40+D41</f>
        <v>9</v>
      </c>
      <c r="E39" s="477">
        <f aca="true" t="shared" si="6" ref="E39:L39">E40+E41</f>
        <v>0</v>
      </c>
      <c r="F39" s="477">
        <f t="shared" si="6"/>
        <v>0</v>
      </c>
      <c r="G39" s="477">
        <f t="shared" si="6"/>
        <v>9</v>
      </c>
      <c r="H39" s="480">
        <f t="shared" si="6"/>
        <v>30</v>
      </c>
      <c r="I39" s="477">
        <f t="shared" si="6"/>
        <v>10</v>
      </c>
      <c r="J39" s="477">
        <f t="shared" si="6"/>
        <v>10</v>
      </c>
      <c r="K39" s="477">
        <f t="shared" si="6"/>
        <v>10</v>
      </c>
      <c r="L39" s="480">
        <f t="shared" si="6"/>
        <v>30</v>
      </c>
      <c r="M39" s="477">
        <f aca="true" t="shared" si="7" ref="M39:S39">M40+M41</f>
        <v>10</v>
      </c>
      <c r="N39" s="477">
        <f t="shared" si="7"/>
        <v>10</v>
      </c>
      <c r="O39" s="477">
        <f t="shared" si="7"/>
        <v>10</v>
      </c>
      <c r="P39" s="834">
        <f t="shared" si="7"/>
        <v>559</v>
      </c>
      <c r="Q39" s="835">
        <f t="shared" si="7"/>
        <v>10</v>
      </c>
      <c r="R39" s="835">
        <f t="shared" si="7"/>
        <v>274</v>
      </c>
      <c r="S39" s="477">
        <f t="shared" si="7"/>
        <v>275</v>
      </c>
      <c r="U39" s="468"/>
      <c r="V39" s="494">
        <f t="shared" si="2"/>
        <v>0</v>
      </c>
    </row>
    <row r="40" spans="1:22" ht="36.75" customHeight="1">
      <c r="A40" s="487" t="s">
        <v>483</v>
      </c>
      <c r="B40" s="479" t="s">
        <v>484</v>
      </c>
      <c r="C40" s="480">
        <v>0</v>
      </c>
      <c r="D40" s="480">
        <v>9</v>
      </c>
      <c r="E40" s="477">
        <v>0</v>
      </c>
      <c r="F40" s="477">
        <v>0</v>
      </c>
      <c r="G40" s="477">
        <v>9</v>
      </c>
      <c r="H40" s="480">
        <v>30</v>
      </c>
      <c r="I40" s="477">
        <v>10</v>
      </c>
      <c r="J40" s="477">
        <v>10</v>
      </c>
      <c r="K40" s="477">
        <v>10</v>
      </c>
      <c r="L40" s="480">
        <v>30</v>
      </c>
      <c r="M40" s="477">
        <v>10</v>
      </c>
      <c r="N40" s="477">
        <v>10</v>
      </c>
      <c r="O40" s="477">
        <v>10</v>
      </c>
      <c r="P40" s="834">
        <v>31</v>
      </c>
      <c r="Q40" s="477">
        <v>10</v>
      </c>
      <c r="R40" s="477">
        <v>10</v>
      </c>
      <c r="S40" s="477">
        <v>11</v>
      </c>
      <c r="U40" s="468"/>
      <c r="V40" s="494">
        <f t="shared" si="2"/>
        <v>0</v>
      </c>
    </row>
    <row r="41" spans="1:22" ht="36.75" customHeight="1">
      <c r="A41" s="487" t="s">
        <v>485</v>
      </c>
      <c r="B41" s="479" t="s">
        <v>486</v>
      </c>
      <c r="C41" s="480">
        <v>0</v>
      </c>
      <c r="D41" s="480">
        <v>0</v>
      </c>
      <c r="E41" s="477"/>
      <c r="F41" s="477"/>
      <c r="G41" s="477"/>
      <c r="H41" s="480">
        <v>0</v>
      </c>
      <c r="I41" s="477">
        <v>0</v>
      </c>
      <c r="J41" s="477">
        <v>0</v>
      </c>
      <c r="K41" s="477">
        <v>0</v>
      </c>
      <c r="L41" s="480">
        <v>0</v>
      </c>
      <c r="M41" s="477"/>
      <c r="N41" s="477"/>
      <c r="O41" s="477"/>
      <c r="P41" s="834">
        <v>528</v>
      </c>
      <c r="Q41" s="477"/>
      <c r="R41" s="477">
        <v>264</v>
      </c>
      <c r="S41" s="477">
        <v>264</v>
      </c>
      <c r="U41" s="468"/>
      <c r="V41" s="494">
        <f t="shared" si="2"/>
        <v>0</v>
      </c>
    </row>
    <row r="42" spans="1:22" ht="18.75">
      <c r="A42" s="468" t="s">
        <v>284</v>
      </c>
      <c r="B42" s="479" t="s">
        <v>414</v>
      </c>
      <c r="C42" s="480">
        <f>C43+C44</f>
        <v>701</v>
      </c>
      <c r="D42" s="480">
        <f>D43+D44</f>
        <v>0</v>
      </c>
      <c r="E42" s="477"/>
      <c r="F42" s="477"/>
      <c r="G42" s="477"/>
      <c r="H42" s="480">
        <f>H43+H44</f>
        <v>0</v>
      </c>
      <c r="I42" s="477"/>
      <c r="J42" s="477"/>
      <c r="K42" s="477"/>
      <c r="L42" s="480">
        <f aca="true" t="shared" si="8" ref="L42:S42">L43+L44</f>
        <v>34</v>
      </c>
      <c r="M42" s="477">
        <f t="shared" si="8"/>
        <v>0</v>
      </c>
      <c r="N42" s="477">
        <f t="shared" si="8"/>
        <v>0</v>
      </c>
      <c r="O42" s="477">
        <f t="shared" si="8"/>
        <v>34</v>
      </c>
      <c r="P42" s="834">
        <f t="shared" si="8"/>
        <v>35</v>
      </c>
      <c r="Q42" s="835">
        <f t="shared" si="8"/>
        <v>24</v>
      </c>
      <c r="R42" s="835">
        <f t="shared" si="8"/>
        <v>11</v>
      </c>
      <c r="S42" s="835">
        <f t="shared" si="8"/>
        <v>0</v>
      </c>
      <c r="U42" s="468"/>
      <c r="V42" s="494">
        <f t="shared" si="2"/>
        <v>701</v>
      </c>
    </row>
    <row r="43" spans="1:22" ht="60" customHeight="1">
      <c r="A43" s="490" t="s">
        <v>606</v>
      </c>
      <c r="B43" s="476" t="s">
        <v>607</v>
      </c>
      <c r="C43" s="480">
        <v>687</v>
      </c>
      <c r="D43" s="480">
        <v>0</v>
      </c>
      <c r="E43" s="477"/>
      <c r="F43" s="477"/>
      <c r="G43" s="477"/>
      <c r="H43" s="480">
        <v>0</v>
      </c>
      <c r="I43" s="477"/>
      <c r="J43" s="477"/>
      <c r="K43" s="477"/>
      <c r="L43" s="480">
        <v>17</v>
      </c>
      <c r="M43" s="477"/>
      <c r="N43" s="477"/>
      <c r="O43" s="477">
        <v>17</v>
      </c>
      <c r="P43" s="834">
        <v>18</v>
      </c>
      <c r="Q43" s="477">
        <v>12</v>
      </c>
      <c r="R43" s="477">
        <v>6</v>
      </c>
      <c r="S43" s="477"/>
      <c r="U43" s="468"/>
      <c r="V43" s="494">
        <f t="shared" si="2"/>
        <v>687</v>
      </c>
    </row>
    <row r="44" spans="1:22" ht="66.75" customHeight="1">
      <c r="A44" s="490" t="s">
        <v>608</v>
      </c>
      <c r="B44" s="476" t="s">
        <v>609</v>
      </c>
      <c r="C44" s="480">
        <v>14</v>
      </c>
      <c r="D44" s="480">
        <v>0</v>
      </c>
      <c r="E44" s="477"/>
      <c r="F44" s="477"/>
      <c r="G44" s="477"/>
      <c r="H44" s="480"/>
      <c r="I44" s="477"/>
      <c r="J44" s="477"/>
      <c r="K44" s="477"/>
      <c r="L44" s="480">
        <v>17</v>
      </c>
      <c r="M44" s="477"/>
      <c r="N44" s="477"/>
      <c r="O44" s="477">
        <v>17</v>
      </c>
      <c r="P44" s="834">
        <v>17</v>
      </c>
      <c r="Q44" s="477">
        <v>12</v>
      </c>
      <c r="R44" s="477">
        <v>5</v>
      </c>
      <c r="S44" s="477"/>
      <c r="U44" s="468"/>
      <c r="V44" s="494">
        <f t="shared" si="2"/>
        <v>14</v>
      </c>
    </row>
    <row r="45" spans="1:22" ht="19.5" hidden="1">
      <c r="A45" s="486" t="s">
        <v>285</v>
      </c>
      <c r="B45" s="479" t="s">
        <v>286</v>
      </c>
      <c r="C45" s="480">
        <f aca="true" t="shared" si="9" ref="C45:C54">SUM(D45:P45)</f>
        <v>0</v>
      </c>
      <c r="D45" s="480">
        <f>D46+D47+D48</f>
        <v>0</v>
      </c>
      <c r="E45" s="477"/>
      <c r="F45" s="477"/>
      <c r="G45" s="477"/>
      <c r="H45" s="480">
        <f>H46+H47+H48</f>
        <v>0</v>
      </c>
      <c r="I45" s="477"/>
      <c r="J45" s="477"/>
      <c r="K45" s="477"/>
      <c r="L45" s="480">
        <f>L46+L47+L48</f>
        <v>0</v>
      </c>
      <c r="M45" s="477"/>
      <c r="N45" s="477"/>
      <c r="O45" s="477"/>
      <c r="P45" s="834">
        <f>P46+P47+P48</f>
        <v>0</v>
      </c>
      <c r="Q45" s="477"/>
      <c r="R45" s="477"/>
      <c r="S45" s="477"/>
      <c r="U45" s="468"/>
      <c r="V45" s="494">
        <f t="shared" si="2"/>
        <v>0</v>
      </c>
    </row>
    <row r="46" spans="1:22" ht="18.75" hidden="1">
      <c r="A46" s="485" t="s">
        <v>287</v>
      </c>
      <c r="B46" s="479" t="s">
        <v>415</v>
      </c>
      <c r="C46" s="480">
        <f t="shared" si="9"/>
        <v>0</v>
      </c>
      <c r="D46" s="480"/>
      <c r="E46" s="477"/>
      <c r="F46" s="477"/>
      <c r="G46" s="477"/>
      <c r="H46" s="480"/>
      <c r="I46" s="477"/>
      <c r="J46" s="477"/>
      <c r="K46" s="477"/>
      <c r="L46" s="480"/>
      <c r="M46" s="477"/>
      <c r="N46" s="477"/>
      <c r="O46" s="477"/>
      <c r="P46" s="834"/>
      <c r="Q46" s="477"/>
      <c r="R46" s="477"/>
      <c r="S46" s="477"/>
      <c r="U46" s="468"/>
      <c r="V46" s="494">
        <f t="shared" si="2"/>
        <v>0</v>
      </c>
    </row>
    <row r="47" spans="1:22" ht="18.75" hidden="1">
      <c r="A47" s="468" t="s">
        <v>288</v>
      </c>
      <c r="B47" s="479" t="s">
        <v>416</v>
      </c>
      <c r="C47" s="480">
        <f t="shared" si="9"/>
        <v>0</v>
      </c>
      <c r="D47" s="480"/>
      <c r="E47" s="477"/>
      <c r="F47" s="477"/>
      <c r="G47" s="477"/>
      <c r="H47" s="480"/>
      <c r="I47" s="477"/>
      <c r="J47" s="477"/>
      <c r="K47" s="477"/>
      <c r="L47" s="480"/>
      <c r="M47" s="477"/>
      <c r="N47" s="477"/>
      <c r="O47" s="477"/>
      <c r="P47" s="834"/>
      <c r="Q47" s="477"/>
      <c r="R47" s="477"/>
      <c r="S47" s="477"/>
      <c r="U47" s="468"/>
      <c r="V47" s="494">
        <f t="shared" si="2"/>
        <v>0</v>
      </c>
    </row>
    <row r="48" spans="1:22" ht="18.75" hidden="1">
      <c r="A48" s="468" t="s">
        <v>289</v>
      </c>
      <c r="B48" s="479" t="s">
        <v>290</v>
      </c>
      <c r="C48" s="480">
        <f t="shared" si="9"/>
        <v>0</v>
      </c>
      <c r="D48" s="480">
        <f>D49</f>
        <v>0</v>
      </c>
      <c r="E48" s="477"/>
      <c r="F48" s="477"/>
      <c r="G48" s="477"/>
      <c r="H48" s="480">
        <f>H49</f>
        <v>0</v>
      </c>
      <c r="I48" s="477"/>
      <c r="J48" s="477"/>
      <c r="K48" s="477"/>
      <c r="L48" s="480">
        <f>L49</f>
        <v>0</v>
      </c>
      <c r="M48" s="477"/>
      <c r="N48" s="477"/>
      <c r="O48" s="477"/>
      <c r="P48" s="834">
        <f>P49</f>
        <v>0</v>
      </c>
      <c r="Q48" s="477"/>
      <c r="R48" s="477"/>
      <c r="S48" s="477"/>
      <c r="U48" s="468"/>
      <c r="V48" s="494">
        <f t="shared" si="2"/>
        <v>0</v>
      </c>
    </row>
    <row r="49" spans="1:22" ht="18.75" hidden="1">
      <c r="A49" s="468" t="s">
        <v>317</v>
      </c>
      <c r="B49" s="479" t="s">
        <v>417</v>
      </c>
      <c r="C49" s="480">
        <f t="shared" si="9"/>
        <v>0</v>
      </c>
      <c r="D49" s="480"/>
      <c r="E49" s="477"/>
      <c r="F49" s="477"/>
      <c r="G49" s="477"/>
      <c r="H49" s="480"/>
      <c r="I49" s="477"/>
      <c r="J49" s="477"/>
      <c r="K49" s="477"/>
      <c r="L49" s="480"/>
      <c r="M49" s="477"/>
      <c r="N49" s="477"/>
      <c r="O49" s="477"/>
      <c r="P49" s="834"/>
      <c r="Q49" s="477"/>
      <c r="R49" s="477"/>
      <c r="S49" s="477"/>
      <c r="U49" s="468"/>
      <c r="V49" s="494">
        <f t="shared" si="2"/>
        <v>0</v>
      </c>
    </row>
    <row r="50" spans="1:22" ht="18.75" hidden="1">
      <c r="A50" s="468"/>
      <c r="B50" s="479"/>
      <c r="C50" s="480">
        <f t="shared" si="9"/>
        <v>0</v>
      </c>
      <c r="D50" s="480"/>
      <c r="E50" s="477"/>
      <c r="F50" s="477"/>
      <c r="G50" s="477"/>
      <c r="H50" s="480"/>
      <c r="I50" s="477"/>
      <c r="J50" s="477"/>
      <c r="K50" s="477"/>
      <c r="L50" s="480"/>
      <c r="M50" s="477"/>
      <c r="N50" s="477"/>
      <c r="O50" s="477"/>
      <c r="P50" s="834"/>
      <c r="Q50" s="477"/>
      <c r="R50" s="477"/>
      <c r="S50" s="477"/>
      <c r="U50" s="468"/>
      <c r="V50" s="494">
        <f t="shared" si="2"/>
        <v>0</v>
      </c>
    </row>
    <row r="51" spans="1:22" ht="19.5" hidden="1">
      <c r="A51" s="486" t="s">
        <v>291</v>
      </c>
      <c r="B51" s="479" t="s">
        <v>292</v>
      </c>
      <c r="C51" s="480">
        <f t="shared" si="9"/>
        <v>0</v>
      </c>
      <c r="D51" s="480">
        <f>D52+D53</f>
        <v>0</v>
      </c>
      <c r="E51" s="477"/>
      <c r="F51" s="477"/>
      <c r="G51" s="477"/>
      <c r="H51" s="480">
        <f>H52+H53</f>
        <v>0</v>
      </c>
      <c r="I51" s="477"/>
      <c r="J51" s="477"/>
      <c r="K51" s="477"/>
      <c r="L51" s="480">
        <f>L52+L53</f>
        <v>0</v>
      </c>
      <c r="M51" s="477"/>
      <c r="N51" s="477"/>
      <c r="O51" s="477"/>
      <c r="P51" s="834">
        <f>P52+P53</f>
        <v>0</v>
      </c>
      <c r="Q51" s="477"/>
      <c r="R51" s="477"/>
      <c r="S51" s="477"/>
      <c r="U51" s="468"/>
      <c r="V51" s="494">
        <f t="shared" si="2"/>
        <v>0</v>
      </c>
    </row>
    <row r="52" spans="1:22" ht="18.75" hidden="1">
      <c r="A52" s="482" t="s">
        <v>420</v>
      </c>
      <c r="B52" s="479" t="s">
        <v>421</v>
      </c>
      <c r="C52" s="480">
        <f t="shared" si="9"/>
        <v>0</v>
      </c>
      <c r="D52" s="480"/>
      <c r="E52" s="477"/>
      <c r="F52" s="477"/>
      <c r="G52" s="477"/>
      <c r="H52" s="480"/>
      <c r="I52" s="477"/>
      <c r="J52" s="477"/>
      <c r="K52" s="477"/>
      <c r="L52" s="480"/>
      <c r="M52" s="477"/>
      <c r="N52" s="477"/>
      <c r="O52" s="477"/>
      <c r="P52" s="834"/>
      <c r="Q52" s="477"/>
      <c r="R52" s="477"/>
      <c r="S52" s="477"/>
      <c r="U52" s="468"/>
      <c r="V52" s="494">
        <f t="shared" si="2"/>
        <v>0</v>
      </c>
    </row>
    <row r="53" spans="1:22" ht="18.75" hidden="1">
      <c r="A53" s="492" t="s">
        <v>374</v>
      </c>
      <c r="B53" s="476" t="s">
        <v>418</v>
      </c>
      <c r="C53" s="480">
        <f t="shared" si="9"/>
        <v>0</v>
      </c>
      <c r="D53" s="480"/>
      <c r="E53" s="477"/>
      <c r="F53" s="477"/>
      <c r="G53" s="477"/>
      <c r="H53" s="480"/>
      <c r="I53" s="477"/>
      <c r="J53" s="477"/>
      <c r="K53" s="477"/>
      <c r="L53" s="480"/>
      <c r="M53" s="477"/>
      <c r="N53" s="477"/>
      <c r="O53" s="477"/>
      <c r="P53" s="834"/>
      <c r="Q53" s="477"/>
      <c r="R53" s="477"/>
      <c r="S53" s="477"/>
      <c r="U53" s="468"/>
      <c r="V53" s="494">
        <f t="shared" si="2"/>
        <v>0</v>
      </c>
    </row>
    <row r="54" spans="1:22" ht="18.75" hidden="1">
      <c r="A54" s="492"/>
      <c r="B54" s="476"/>
      <c r="C54" s="480">
        <f t="shared" si="9"/>
        <v>0</v>
      </c>
      <c r="D54" s="480"/>
      <c r="E54" s="477"/>
      <c r="F54" s="477"/>
      <c r="G54" s="477"/>
      <c r="H54" s="480"/>
      <c r="I54" s="477"/>
      <c r="J54" s="477"/>
      <c r="K54" s="477"/>
      <c r="L54" s="480"/>
      <c r="M54" s="477"/>
      <c r="N54" s="477"/>
      <c r="O54" s="477"/>
      <c r="P54" s="834"/>
      <c r="Q54" s="477"/>
      <c r="R54" s="477"/>
      <c r="S54" s="477"/>
      <c r="U54" s="468"/>
      <c r="V54" s="494">
        <f t="shared" si="2"/>
        <v>0</v>
      </c>
    </row>
    <row r="55" spans="4:22" ht="18.75" hidden="1">
      <c r="D55" s="520"/>
      <c r="H55" s="520"/>
      <c r="L55" s="520"/>
      <c r="P55" s="520"/>
      <c r="Q55" s="468"/>
      <c r="R55" s="468"/>
      <c r="S55" s="468"/>
      <c r="U55" s="468"/>
      <c r="V55" s="494">
        <f t="shared" si="2"/>
        <v>0</v>
      </c>
    </row>
    <row r="56" spans="4:22" ht="18.75" hidden="1">
      <c r="D56" s="520"/>
      <c r="H56" s="520"/>
      <c r="L56" s="520"/>
      <c r="P56" s="520"/>
      <c r="Q56" s="468"/>
      <c r="R56" s="468"/>
      <c r="S56" s="468"/>
      <c r="U56" s="468"/>
      <c r="V56" s="494">
        <f t="shared" si="2"/>
        <v>0</v>
      </c>
    </row>
    <row r="57" spans="1:22" ht="18.75">
      <c r="A57" s="493" t="s">
        <v>285</v>
      </c>
      <c r="B57" s="479" t="s">
        <v>489</v>
      </c>
      <c r="C57" s="513">
        <v>49</v>
      </c>
      <c r="D57" s="513">
        <f>D58</f>
        <v>13</v>
      </c>
      <c r="E57" s="494">
        <f aca="true" t="shared" si="10" ref="E57:S57">E58</f>
        <v>4</v>
      </c>
      <c r="F57" s="494">
        <f t="shared" si="10"/>
        <v>4</v>
      </c>
      <c r="G57" s="494">
        <f t="shared" si="10"/>
        <v>5</v>
      </c>
      <c r="H57" s="513">
        <f t="shared" si="10"/>
        <v>13</v>
      </c>
      <c r="I57" s="494">
        <f t="shared" si="10"/>
        <v>4</v>
      </c>
      <c r="J57" s="494">
        <f t="shared" si="10"/>
        <v>4</v>
      </c>
      <c r="K57" s="494">
        <f t="shared" si="10"/>
        <v>5</v>
      </c>
      <c r="L57" s="513">
        <f t="shared" si="10"/>
        <v>13</v>
      </c>
      <c r="M57" s="494">
        <f>M58</f>
        <v>4</v>
      </c>
      <c r="N57" s="494">
        <f>N58</f>
        <v>4</v>
      </c>
      <c r="O57" s="494">
        <f>O58</f>
        <v>5</v>
      </c>
      <c r="P57" s="843">
        <f t="shared" si="10"/>
        <v>11</v>
      </c>
      <c r="Q57" s="836">
        <f t="shared" si="10"/>
        <v>4</v>
      </c>
      <c r="R57" s="836">
        <f t="shared" si="10"/>
        <v>3</v>
      </c>
      <c r="S57" s="836">
        <f t="shared" si="10"/>
        <v>4</v>
      </c>
      <c r="U57" s="468"/>
      <c r="V57" s="494">
        <f t="shared" si="2"/>
        <v>49</v>
      </c>
    </row>
    <row r="58" spans="1:22" ht="75" customHeight="1">
      <c r="A58" s="490" t="s">
        <v>487</v>
      </c>
      <c r="B58" s="476" t="s">
        <v>488</v>
      </c>
      <c r="C58" s="480">
        <v>49</v>
      </c>
      <c r="D58" s="480">
        <v>13</v>
      </c>
      <c r="E58" s="477">
        <v>4</v>
      </c>
      <c r="F58" s="477">
        <v>4</v>
      </c>
      <c r="G58" s="477">
        <v>5</v>
      </c>
      <c r="H58" s="480">
        <v>13</v>
      </c>
      <c r="I58" s="477">
        <v>4</v>
      </c>
      <c r="J58" s="477">
        <v>4</v>
      </c>
      <c r="K58" s="477">
        <v>5</v>
      </c>
      <c r="L58" s="480">
        <v>13</v>
      </c>
      <c r="M58" s="477">
        <v>4</v>
      </c>
      <c r="N58" s="477">
        <v>4</v>
      </c>
      <c r="O58" s="477">
        <v>5</v>
      </c>
      <c r="P58" s="834">
        <v>11</v>
      </c>
      <c r="Q58" s="477">
        <v>4</v>
      </c>
      <c r="R58" s="477">
        <v>3</v>
      </c>
      <c r="S58" s="477">
        <v>4</v>
      </c>
      <c r="U58" s="468"/>
      <c r="V58" s="494">
        <f t="shared" si="2"/>
        <v>49</v>
      </c>
    </row>
    <row r="59" spans="1:22" s="520" customFormat="1" ht="18.75" hidden="1">
      <c r="A59" s="503" t="s">
        <v>525</v>
      </c>
      <c r="B59" s="519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80"/>
      <c r="O59" s="480"/>
      <c r="P59" s="834"/>
      <c r="Q59" s="480"/>
      <c r="R59" s="480"/>
      <c r="S59" s="480"/>
      <c r="U59" s="493"/>
      <c r="V59" s="494">
        <f t="shared" si="2"/>
        <v>0</v>
      </c>
    </row>
    <row r="60" spans="1:22" ht="37.5" hidden="1">
      <c r="A60" s="487" t="s">
        <v>314</v>
      </c>
      <c r="B60" s="479" t="s">
        <v>315</v>
      </c>
      <c r="C60" s="480">
        <f>SUM(D60:P60)</f>
        <v>0</v>
      </c>
      <c r="D60" s="846"/>
      <c r="E60" s="491"/>
      <c r="F60" s="491"/>
      <c r="G60" s="491"/>
      <c r="H60" s="846"/>
      <c r="I60" s="491"/>
      <c r="J60" s="491"/>
      <c r="K60" s="491"/>
      <c r="L60" s="846"/>
      <c r="M60" s="491"/>
      <c r="N60" s="491"/>
      <c r="O60" s="491"/>
      <c r="P60" s="844"/>
      <c r="Q60" s="491"/>
      <c r="R60" s="491"/>
      <c r="S60" s="491"/>
      <c r="U60" s="468"/>
      <c r="V60" s="494">
        <f t="shared" si="2"/>
        <v>0</v>
      </c>
    </row>
    <row r="61" spans="1:22" ht="45.75" customHeight="1">
      <c r="A61" s="495" t="s">
        <v>293</v>
      </c>
      <c r="B61" s="476" t="s">
        <v>610</v>
      </c>
      <c r="C61" s="480">
        <f>C63</f>
        <v>298</v>
      </c>
      <c r="D61" s="480">
        <f>D62+D63</f>
        <v>126</v>
      </c>
      <c r="E61" s="477">
        <f>E63</f>
        <v>42</v>
      </c>
      <c r="F61" s="477">
        <f>F63</f>
        <v>42</v>
      </c>
      <c r="G61" s="477">
        <f>G63</f>
        <v>42</v>
      </c>
      <c r="H61" s="480">
        <f>H62+H63</f>
        <v>126</v>
      </c>
      <c r="I61" s="477">
        <f>I63</f>
        <v>42</v>
      </c>
      <c r="J61" s="477">
        <f>J63</f>
        <v>42</v>
      </c>
      <c r="K61" s="477">
        <f>K63</f>
        <v>42</v>
      </c>
      <c r="L61" s="480">
        <f aca="true" t="shared" si="11" ref="L61:S61">L62+L63</f>
        <v>125</v>
      </c>
      <c r="M61" s="477">
        <f t="shared" si="11"/>
        <v>41</v>
      </c>
      <c r="N61" s="477">
        <f t="shared" si="11"/>
        <v>41</v>
      </c>
      <c r="O61" s="477">
        <f t="shared" si="11"/>
        <v>43</v>
      </c>
      <c r="P61" s="834">
        <f t="shared" si="11"/>
        <v>123</v>
      </c>
      <c r="Q61" s="835">
        <f t="shared" si="11"/>
        <v>42</v>
      </c>
      <c r="R61" s="835">
        <f t="shared" si="11"/>
        <v>41</v>
      </c>
      <c r="S61" s="835">
        <f t="shared" si="11"/>
        <v>40</v>
      </c>
      <c r="U61" s="468"/>
      <c r="V61" s="494">
        <f t="shared" si="2"/>
        <v>298</v>
      </c>
    </row>
    <row r="62" spans="1:22" s="500" customFormat="1" ht="71.25" customHeight="1" hidden="1">
      <c r="A62" s="496"/>
      <c r="B62" s="497"/>
      <c r="C62" s="498">
        <f>SUM(D62:P62)</f>
        <v>0</v>
      </c>
      <c r="D62" s="498"/>
      <c r="E62" s="499"/>
      <c r="F62" s="499"/>
      <c r="G62" s="499"/>
      <c r="H62" s="498"/>
      <c r="I62" s="499"/>
      <c r="J62" s="499"/>
      <c r="K62" s="499"/>
      <c r="L62" s="498"/>
      <c r="M62" s="499"/>
      <c r="N62" s="499"/>
      <c r="O62" s="499"/>
      <c r="P62" s="838"/>
      <c r="Q62" s="499"/>
      <c r="R62" s="499"/>
      <c r="S62" s="499"/>
      <c r="U62" s="487"/>
      <c r="V62" s="494">
        <f t="shared" si="2"/>
        <v>0</v>
      </c>
    </row>
    <row r="63" spans="1:22" s="500" customFormat="1" ht="93" customHeight="1">
      <c r="A63" s="490" t="s">
        <v>612</v>
      </c>
      <c r="B63" s="501" t="s">
        <v>611</v>
      </c>
      <c r="C63" s="498">
        <v>298</v>
      </c>
      <c r="D63" s="498">
        <f>D65+D69+D73</f>
        <v>126</v>
      </c>
      <c r="E63" s="499">
        <f>E65+E73</f>
        <v>42</v>
      </c>
      <c r="F63" s="499">
        <f>F65+F73</f>
        <v>42</v>
      </c>
      <c r="G63" s="499">
        <f>G65+G73</f>
        <v>42</v>
      </c>
      <c r="H63" s="498">
        <f>H65+H69+H73</f>
        <v>126</v>
      </c>
      <c r="I63" s="499">
        <f>I65+I73</f>
        <v>42</v>
      </c>
      <c r="J63" s="499">
        <f>J65+J73</f>
        <v>42</v>
      </c>
      <c r="K63" s="499">
        <f>K65+K73</f>
        <v>42</v>
      </c>
      <c r="L63" s="498">
        <f aca="true" t="shared" si="12" ref="L63:S63">L65+L69+L73</f>
        <v>125</v>
      </c>
      <c r="M63" s="499">
        <f t="shared" si="12"/>
        <v>41</v>
      </c>
      <c r="N63" s="499">
        <f t="shared" si="12"/>
        <v>41</v>
      </c>
      <c r="O63" s="499">
        <f t="shared" si="12"/>
        <v>43</v>
      </c>
      <c r="P63" s="838">
        <f t="shared" si="12"/>
        <v>123</v>
      </c>
      <c r="Q63" s="837">
        <f t="shared" si="12"/>
        <v>42</v>
      </c>
      <c r="R63" s="837">
        <f t="shared" si="12"/>
        <v>41</v>
      </c>
      <c r="S63" s="837">
        <f t="shared" si="12"/>
        <v>40</v>
      </c>
      <c r="U63" s="487"/>
      <c r="V63" s="494">
        <f t="shared" si="2"/>
        <v>298</v>
      </c>
    </row>
    <row r="64" spans="1:22" s="500" customFormat="1" ht="71.25" customHeight="1" hidden="1">
      <c r="A64" s="490"/>
      <c r="B64" s="502">
        <v>0</v>
      </c>
      <c r="C64" s="498">
        <f>SUM(D64:P64)</f>
        <v>0</v>
      </c>
      <c r="D64" s="498"/>
      <c r="E64" s="499"/>
      <c r="F64" s="499"/>
      <c r="G64" s="499"/>
      <c r="H64" s="498"/>
      <c r="I64" s="499"/>
      <c r="J64" s="499"/>
      <c r="K64" s="499"/>
      <c r="L64" s="498"/>
      <c r="M64" s="499"/>
      <c r="N64" s="499"/>
      <c r="O64" s="499"/>
      <c r="P64" s="838"/>
      <c r="Q64" s="499"/>
      <c r="R64" s="499"/>
      <c r="S64" s="499"/>
      <c r="U64" s="487"/>
      <c r="V64" s="494">
        <f t="shared" si="2"/>
        <v>0</v>
      </c>
    </row>
    <row r="65" spans="1:22" s="500" customFormat="1" ht="72" customHeight="1">
      <c r="A65" s="490" t="s">
        <v>522</v>
      </c>
      <c r="B65" s="501" t="s">
        <v>617</v>
      </c>
      <c r="C65" s="498">
        <v>0</v>
      </c>
      <c r="D65" s="498">
        <f>D66+D67</f>
        <v>53</v>
      </c>
      <c r="E65" s="499">
        <f>E66</f>
        <v>18</v>
      </c>
      <c r="F65" s="499">
        <f>F66</f>
        <v>18</v>
      </c>
      <c r="G65" s="499">
        <f>G66</f>
        <v>17</v>
      </c>
      <c r="H65" s="498">
        <f>H66+H67</f>
        <v>53</v>
      </c>
      <c r="I65" s="499">
        <f>I66</f>
        <v>18</v>
      </c>
      <c r="J65" s="499">
        <f>J66</f>
        <v>18</v>
      </c>
      <c r="K65" s="499">
        <f>K66</f>
        <v>17</v>
      </c>
      <c r="L65" s="498">
        <f aca="true" t="shared" si="13" ref="L65:S65">L66+L67</f>
        <v>52</v>
      </c>
      <c r="M65" s="499">
        <f t="shared" si="13"/>
        <v>17</v>
      </c>
      <c r="N65" s="499">
        <f t="shared" si="13"/>
        <v>17</v>
      </c>
      <c r="O65" s="499">
        <f t="shared" si="13"/>
        <v>18</v>
      </c>
      <c r="P65" s="838">
        <f t="shared" si="13"/>
        <v>52</v>
      </c>
      <c r="Q65" s="837">
        <f t="shared" si="13"/>
        <v>18</v>
      </c>
      <c r="R65" s="837">
        <f t="shared" si="13"/>
        <v>17</v>
      </c>
      <c r="S65" s="837">
        <f t="shared" si="13"/>
        <v>17</v>
      </c>
      <c r="U65" s="487"/>
      <c r="V65" s="494">
        <f t="shared" si="2"/>
        <v>0</v>
      </c>
    </row>
    <row r="66" spans="1:22" s="500" customFormat="1" ht="72" customHeight="1">
      <c r="A66" s="490" t="s">
        <v>523</v>
      </c>
      <c r="B66" s="444" t="s">
        <v>618</v>
      </c>
      <c r="C66" s="498">
        <v>0</v>
      </c>
      <c r="D66" s="498">
        <v>53</v>
      </c>
      <c r="E66" s="499">
        <v>18</v>
      </c>
      <c r="F66" s="499">
        <v>18</v>
      </c>
      <c r="G66" s="499">
        <v>17</v>
      </c>
      <c r="H66" s="498">
        <v>53</v>
      </c>
      <c r="I66" s="499">
        <v>18</v>
      </c>
      <c r="J66" s="499">
        <v>18</v>
      </c>
      <c r="K66" s="499">
        <v>17</v>
      </c>
      <c r="L66" s="498">
        <v>52</v>
      </c>
      <c r="M66" s="499">
        <v>17</v>
      </c>
      <c r="N66" s="499">
        <v>17</v>
      </c>
      <c r="O66" s="499">
        <v>18</v>
      </c>
      <c r="P66" s="838">
        <v>52</v>
      </c>
      <c r="Q66" s="499">
        <v>18</v>
      </c>
      <c r="R66" s="499">
        <v>17</v>
      </c>
      <c r="S66" s="499">
        <v>17</v>
      </c>
      <c r="U66" s="487"/>
      <c r="V66" s="494">
        <f t="shared" si="2"/>
        <v>0</v>
      </c>
    </row>
    <row r="67" spans="1:22" s="500" customFormat="1" ht="71.25" customHeight="1" hidden="1">
      <c r="A67" s="490" t="s">
        <v>524</v>
      </c>
      <c r="B67" s="501" t="s">
        <v>619</v>
      </c>
      <c r="C67" s="498"/>
      <c r="D67" s="498"/>
      <c r="E67" s="498"/>
      <c r="F67" s="498"/>
      <c r="G67" s="498"/>
      <c r="H67" s="498"/>
      <c r="I67" s="498"/>
      <c r="J67" s="498"/>
      <c r="K67" s="498"/>
      <c r="L67" s="498"/>
      <c r="M67" s="498"/>
      <c r="N67" s="498"/>
      <c r="O67" s="498"/>
      <c r="P67" s="838"/>
      <c r="Q67" s="498"/>
      <c r="R67" s="498"/>
      <c r="S67" s="498"/>
      <c r="U67" s="487"/>
      <c r="V67" s="494">
        <f t="shared" si="2"/>
        <v>0</v>
      </c>
    </row>
    <row r="68" spans="1:22" s="500" customFormat="1" ht="71.25" customHeight="1" hidden="1">
      <c r="A68" s="490" t="s">
        <v>620</v>
      </c>
      <c r="B68" s="501" t="s">
        <v>387</v>
      </c>
      <c r="C68" s="498"/>
      <c r="D68" s="498"/>
      <c r="E68" s="498"/>
      <c r="F68" s="498"/>
      <c r="G68" s="498"/>
      <c r="H68" s="498"/>
      <c r="I68" s="498"/>
      <c r="J68" s="498"/>
      <c r="K68" s="498"/>
      <c r="L68" s="498"/>
      <c r="M68" s="498"/>
      <c r="N68" s="498"/>
      <c r="O68" s="498"/>
      <c r="P68" s="838"/>
      <c r="Q68" s="498"/>
      <c r="R68" s="498"/>
      <c r="S68" s="498"/>
      <c r="U68" s="487"/>
      <c r="V68" s="494">
        <f t="shared" si="2"/>
        <v>0</v>
      </c>
    </row>
    <row r="69" spans="1:22" s="500" customFormat="1" ht="37.5" hidden="1">
      <c r="A69" s="490" t="s">
        <v>322</v>
      </c>
      <c r="B69" s="501" t="s">
        <v>323</v>
      </c>
      <c r="C69" s="498">
        <f>SUM(D69:P69)</f>
        <v>0</v>
      </c>
      <c r="D69" s="498">
        <f>D70</f>
        <v>0</v>
      </c>
      <c r="E69" s="498"/>
      <c r="F69" s="498"/>
      <c r="G69" s="498"/>
      <c r="H69" s="498">
        <f>H70</f>
        <v>0</v>
      </c>
      <c r="I69" s="498"/>
      <c r="J69" s="498"/>
      <c r="K69" s="498"/>
      <c r="L69" s="498">
        <f>L70</f>
        <v>0</v>
      </c>
      <c r="M69" s="498"/>
      <c r="N69" s="498"/>
      <c r="O69" s="498"/>
      <c r="P69" s="838">
        <f>P70</f>
        <v>0</v>
      </c>
      <c r="Q69" s="498"/>
      <c r="R69" s="498"/>
      <c r="S69" s="498"/>
      <c r="U69" s="487"/>
      <c r="V69" s="494">
        <f t="shared" si="2"/>
        <v>0</v>
      </c>
    </row>
    <row r="70" spans="1:22" s="500" customFormat="1" ht="37.5" hidden="1">
      <c r="A70" s="490" t="s">
        <v>324</v>
      </c>
      <c r="B70" s="501" t="s">
        <v>320</v>
      </c>
      <c r="C70" s="498">
        <f>SUM(D70:P70)</f>
        <v>0</v>
      </c>
      <c r="D70" s="498">
        <f>D71+D72</f>
        <v>0</v>
      </c>
      <c r="E70" s="498"/>
      <c r="F70" s="498"/>
      <c r="G70" s="498"/>
      <c r="H70" s="498">
        <f>H71+H72</f>
        <v>0</v>
      </c>
      <c r="I70" s="498"/>
      <c r="J70" s="498"/>
      <c r="K70" s="498"/>
      <c r="L70" s="498">
        <f>L71+L72</f>
        <v>0</v>
      </c>
      <c r="M70" s="498"/>
      <c r="N70" s="498"/>
      <c r="O70" s="498"/>
      <c r="P70" s="838">
        <f>P71+P72</f>
        <v>0</v>
      </c>
      <c r="Q70" s="498"/>
      <c r="R70" s="498"/>
      <c r="S70" s="498"/>
      <c r="U70" s="487"/>
      <c r="V70" s="494">
        <f t="shared" si="2"/>
        <v>0</v>
      </c>
    </row>
    <row r="71" spans="1:22" s="500" customFormat="1" ht="37.5" hidden="1">
      <c r="A71" s="503" t="s">
        <v>325</v>
      </c>
      <c r="B71" s="501" t="s">
        <v>386</v>
      </c>
      <c r="C71" s="498">
        <f>SUM(D71:P71)</f>
        <v>0</v>
      </c>
      <c r="D71" s="498"/>
      <c r="E71" s="499"/>
      <c r="F71" s="499"/>
      <c r="G71" s="499"/>
      <c r="H71" s="498"/>
      <c r="I71" s="499"/>
      <c r="J71" s="499"/>
      <c r="K71" s="499"/>
      <c r="L71" s="498"/>
      <c r="M71" s="499"/>
      <c r="N71" s="499"/>
      <c r="O71" s="499"/>
      <c r="P71" s="838"/>
      <c r="Q71" s="499"/>
      <c r="R71" s="499"/>
      <c r="S71" s="499"/>
      <c r="U71" s="487"/>
      <c r="V71" s="494">
        <f t="shared" si="2"/>
        <v>0</v>
      </c>
    </row>
    <row r="72" spans="1:22" s="500" customFormat="1" ht="37.5" hidden="1">
      <c r="A72" s="503" t="s">
        <v>326</v>
      </c>
      <c r="B72" s="501" t="s">
        <v>387</v>
      </c>
      <c r="C72" s="498">
        <f>SUM(D72:P72)</f>
        <v>0</v>
      </c>
      <c r="D72" s="498"/>
      <c r="E72" s="498"/>
      <c r="F72" s="498"/>
      <c r="G72" s="498"/>
      <c r="H72" s="498"/>
      <c r="I72" s="498"/>
      <c r="J72" s="498"/>
      <c r="K72" s="498"/>
      <c r="L72" s="498"/>
      <c r="M72" s="498"/>
      <c r="N72" s="498"/>
      <c r="O72" s="498"/>
      <c r="P72" s="838"/>
      <c r="Q72" s="498"/>
      <c r="R72" s="498"/>
      <c r="S72" s="498"/>
      <c r="U72" s="487"/>
      <c r="V72" s="494">
        <f t="shared" si="2"/>
        <v>0</v>
      </c>
    </row>
    <row r="73" spans="1:22" s="500" customFormat="1" ht="72" customHeight="1">
      <c r="A73" s="490" t="s">
        <v>621</v>
      </c>
      <c r="B73" s="501" t="s">
        <v>718</v>
      </c>
      <c r="C73" s="498">
        <v>35</v>
      </c>
      <c r="D73" s="498">
        <f aca="true" t="shared" si="14" ref="D73:S73">D74</f>
        <v>73</v>
      </c>
      <c r="E73" s="499">
        <f t="shared" si="14"/>
        <v>24</v>
      </c>
      <c r="F73" s="499">
        <f t="shared" si="14"/>
        <v>24</v>
      </c>
      <c r="G73" s="499">
        <f t="shared" si="14"/>
        <v>25</v>
      </c>
      <c r="H73" s="498">
        <f t="shared" si="14"/>
        <v>73</v>
      </c>
      <c r="I73" s="499">
        <f t="shared" si="14"/>
        <v>24</v>
      </c>
      <c r="J73" s="499">
        <f t="shared" si="14"/>
        <v>24</v>
      </c>
      <c r="K73" s="499">
        <f t="shared" si="14"/>
        <v>25</v>
      </c>
      <c r="L73" s="498">
        <f t="shared" si="14"/>
        <v>73</v>
      </c>
      <c r="M73" s="499">
        <f t="shared" si="14"/>
        <v>24</v>
      </c>
      <c r="N73" s="499">
        <f t="shared" si="14"/>
        <v>24</v>
      </c>
      <c r="O73" s="499">
        <f t="shared" si="14"/>
        <v>25</v>
      </c>
      <c r="P73" s="838">
        <f t="shared" si="14"/>
        <v>71</v>
      </c>
      <c r="Q73" s="837">
        <f t="shared" si="14"/>
        <v>24</v>
      </c>
      <c r="R73" s="837">
        <f t="shared" si="14"/>
        <v>24</v>
      </c>
      <c r="S73" s="837">
        <f t="shared" si="14"/>
        <v>23</v>
      </c>
      <c r="U73" s="487"/>
      <c r="V73" s="494">
        <f t="shared" si="2"/>
        <v>35</v>
      </c>
    </row>
    <row r="74" spans="1:22" s="500" customFormat="1" ht="42.75" customHeight="1">
      <c r="A74" s="490" t="s">
        <v>1236</v>
      </c>
      <c r="B74" s="501" t="s">
        <v>618</v>
      </c>
      <c r="C74" s="498">
        <v>263</v>
      </c>
      <c r="D74" s="498">
        <v>73</v>
      </c>
      <c r="E74" s="499">
        <v>24</v>
      </c>
      <c r="F74" s="499">
        <v>24</v>
      </c>
      <c r="G74" s="499">
        <v>25</v>
      </c>
      <c r="H74" s="498">
        <v>73</v>
      </c>
      <c r="I74" s="499">
        <v>24</v>
      </c>
      <c r="J74" s="499">
        <v>24</v>
      </c>
      <c r="K74" s="499">
        <v>25</v>
      </c>
      <c r="L74" s="498">
        <v>73</v>
      </c>
      <c r="M74" s="499">
        <v>24</v>
      </c>
      <c r="N74" s="499">
        <v>24</v>
      </c>
      <c r="O74" s="499">
        <v>25</v>
      </c>
      <c r="P74" s="838">
        <v>71</v>
      </c>
      <c r="Q74" s="499">
        <v>24</v>
      </c>
      <c r="R74" s="499">
        <v>24</v>
      </c>
      <c r="S74" s="499">
        <v>23</v>
      </c>
      <c r="U74" s="487"/>
      <c r="V74" s="494">
        <f t="shared" si="2"/>
        <v>263</v>
      </c>
    </row>
    <row r="75" spans="1:22" s="500" customFormat="1" ht="37.5" hidden="1">
      <c r="A75" s="490" t="s">
        <v>327</v>
      </c>
      <c r="B75" s="501" t="s">
        <v>388</v>
      </c>
      <c r="C75" s="498">
        <f>SUM(D75:P75)</f>
        <v>0</v>
      </c>
      <c r="D75" s="498"/>
      <c r="E75" s="499"/>
      <c r="F75" s="499"/>
      <c r="G75" s="499"/>
      <c r="H75" s="498"/>
      <c r="I75" s="499"/>
      <c r="J75" s="499"/>
      <c r="K75" s="499"/>
      <c r="L75" s="498"/>
      <c r="M75" s="499"/>
      <c r="N75" s="499"/>
      <c r="O75" s="499"/>
      <c r="P75" s="838"/>
      <c r="Q75" s="499"/>
      <c r="R75" s="499"/>
      <c r="S75" s="499"/>
      <c r="U75" s="487"/>
      <c r="V75" s="494">
        <f t="shared" si="2"/>
        <v>0</v>
      </c>
    </row>
    <row r="76" spans="1:22" s="500" customFormat="1" ht="36" customHeight="1">
      <c r="A76" s="457" t="s">
        <v>623</v>
      </c>
      <c r="B76" s="476" t="s">
        <v>428</v>
      </c>
      <c r="C76" s="480">
        <f aca="true" t="shared" si="15" ref="C76:S76">C77+C78</f>
        <v>26</v>
      </c>
      <c r="D76" s="480">
        <f t="shared" si="15"/>
        <v>20</v>
      </c>
      <c r="E76" s="477">
        <f t="shared" si="15"/>
        <v>6</v>
      </c>
      <c r="F76" s="477">
        <f t="shared" si="15"/>
        <v>6</v>
      </c>
      <c r="G76" s="477">
        <f t="shared" si="15"/>
        <v>8</v>
      </c>
      <c r="H76" s="480">
        <f t="shared" si="15"/>
        <v>30</v>
      </c>
      <c r="I76" s="477">
        <f t="shared" si="15"/>
        <v>10</v>
      </c>
      <c r="J76" s="477">
        <f t="shared" si="15"/>
        <v>10</v>
      </c>
      <c r="K76" s="477">
        <f t="shared" si="15"/>
        <v>10</v>
      </c>
      <c r="L76" s="480">
        <f t="shared" si="15"/>
        <v>30</v>
      </c>
      <c r="M76" s="477">
        <f t="shared" si="15"/>
        <v>10</v>
      </c>
      <c r="N76" s="477">
        <f t="shared" si="15"/>
        <v>10</v>
      </c>
      <c r="O76" s="477">
        <f t="shared" si="15"/>
        <v>10</v>
      </c>
      <c r="P76" s="834">
        <f t="shared" si="15"/>
        <v>20</v>
      </c>
      <c r="Q76" s="835">
        <f t="shared" si="15"/>
        <v>6</v>
      </c>
      <c r="R76" s="835">
        <f t="shared" si="15"/>
        <v>6</v>
      </c>
      <c r="S76" s="835">
        <f t="shared" si="15"/>
        <v>8</v>
      </c>
      <c r="U76" s="487"/>
      <c r="V76" s="494">
        <f t="shared" si="2"/>
        <v>26</v>
      </c>
    </row>
    <row r="77" spans="1:22" s="500" customFormat="1" ht="54.75" customHeight="1">
      <c r="A77" s="490" t="s">
        <v>624</v>
      </c>
      <c r="B77" s="476" t="s">
        <v>338</v>
      </c>
      <c r="C77" s="480">
        <v>6</v>
      </c>
      <c r="D77" s="480">
        <v>10</v>
      </c>
      <c r="E77" s="477">
        <v>3</v>
      </c>
      <c r="F77" s="477">
        <v>3</v>
      </c>
      <c r="G77" s="477">
        <v>4</v>
      </c>
      <c r="H77" s="480">
        <v>15</v>
      </c>
      <c r="I77" s="477">
        <v>5</v>
      </c>
      <c r="J77" s="477">
        <v>5</v>
      </c>
      <c r="K77" s="477">
        <v>5</v>
      </c>
      <c r="L77" s="480">
        <v>15</v>
      </c>
      <c r="M77" s="477">
        <v>5</v>
      </c>
      <c r="N77" s="477">
        <v>5</v>
      </c>
      <c r="O77" s="477">
        <v>5</v>
      </c>
      <c r="P77" s="834">
        <v>10</v>
      </c>
      <c r="Q77" s="477">
        <v>3</v>
      </c>
      <c r="R77" s="477">
        <v>3</v>
      </c>
      <c r="S77" s="477">
        <v>4</v>
      </c>
      <c r="U77" s="487"/>
      <c r="V77" s="494">
        <f t="shared" si="2"/>
        <v>6</v>
      </c>
    </row>
    <row r="78" spans="1:22" s="500" customFormat="1" ht="40.5" customHeight="1">
      <c r="A78" s="490" t="s">
        <v>337</v>
      </c>
      <c r="B78" s="476" t="s">
        <v>1272</v>
      </c>
      <c r="C78" s="480">
        <v>20</v>
      </c>
      <c r="D78" s="498">
        <v>10</v>
      </c>
      <c r="E78" s="499">
        <v>3</v>
      </c>
      <c r="F78" s="499">
        <v>3</v>
      </c>
      <c r="G78" s="499">
        <v>4</v>
      </c>
      <c r="H78" s="498">
        <v>15</v>
      </c>
      <c r="I78" s="499">
        <v>5</v>
      </c>
      <c r="J78" s="499">
        <v>5</v>
      </c>
      <c r="K78" s="499">
        <v>5</v>
      </c>
      <c r="L78" s="498">
        <v>15</v>
      </c>
      <c r="M78" s="499">
        <v>5</v>
      </c>
      <c r="N78" s="499">
        <v>5</v>
      </c>
      <c r="O78" s="499">
        <v>5</v>
      </c>
      <c r="P78" s="838">
        <v>10</v>
      </c>
      <c r="Q78" s="499">
        <v>3</v>
      </c>
      <c r="R78" s="499">
        <v>3</v>
      </c>
      <c r="S78" s="499">
        <v>4</v>
      </c>
      <c r="U78" s="487"/>
      <c r="V78" s="494">
        <f t="shared" si="2"/>
        <v>20</v>
      </c>
    </row>
    <row r="79" spans="1:22" s="500" customFormat="1" ht="60" customHeight="1">
      <c r="A79" s="490" t="s">
        <v>1237</v>
      </c>
      <c r="B79" s="476" t="s">
        <v>1238</v>
      </c>
      <c r="C79" s="480">
        <v>2</v>
      </c>
      <c r="D79" s="498"/>
      <c r="E79" s="499"/>
      <c r="F79" s="499"/>
      <c r="G79" s="499"/>
      <c r="H79" s="498"/>
      <c r="I79" s="499"/>
      <c r="J79" s="499"/>
      <c r="K79" s="499"/>
      <c r="L79" s="498"/>
      <c r="M79" s="499"/>
      <c r="N79" s="499"/>
      <c r="O79" s="499"/>
      <c r="P79" s="838"/>
      <c r="Q79" s="499"/>
      <c r="R79" s="499"/>
      <c r="S79" s="499"/>
      <c r="U79" s="487"/>
      <c r="V79" s="494">
        <f t="shared" si="2"/>
        <v>2</v>
      </c>
    </row>
    <row r="80" spans="1:22" s="500" customFormat="1" ht="16.5" customHeight="1">
      <c r="A80" s="503" t="s">
        <v>625</v>
      </c>
      <c r="B80" s="501" t="s">
        <v>626</v>
      </c>
      <c r="C80" s="480">
        <v>51</v>
      </c>
      <c r="D80" s="499"/>
      <c r="E80" s="499"/>
      <c r="F80" s="499"/>
      <c r="G80" s="499"/>
      <c r="H80" s="499"/>
      <c r="I80" s="499"/>
      <c r="J80" s="499"/>
      <c r="K80" s="499"/>
      <c r="L80" s="499"/>
      <c r="M80" s="499"/>
      <c r="N80" s="499"/>
      <c r="O80" s="499"/>
      <c r="P80" s="837"/>
      <c r="Q80" s="499"/>
      <c r="R80" s="499"/>
      <c r="S80" s="499"/>
      <c r="U80" s="487"/>
      <c r="V80" s="1063">
        <f aca="true" t="shared" si="16" ref="V80:V118">C80+U80</f>
        <v>51</v>
      </c>
    </row>
    <row r="81" spans="1:22" ht="71.25" customHeight="1" hidden="1">
      <c r="A81" s="468"/>
      <c r="B81" s="479"/>
      <c r="C81" s="480">
        <f aca="true" t="shared" si="17" ref="C81:C100">SUM(D81:P81)</f>
        <v>0</v>
      </c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835"/>
      <c r="Q81" s="477"/>
      <c r="R81" s="477"/>
      <c r="S81" s="477"/>
      <c r="U81" s="468"/>
      <c r="V81" s="1063">
        <f t="shared" si="16"/>
        <v>0</v>
      </c>
    </row>
    <row r="82" spans="1:22" ht="19.5" hidden="1">
      <c r="A82" s="486" t="s">
        <v>294</v>
      </c>
      <c r="B82" s="479" t="s">
        <v>295</v>
      </c>
      <c r="C82" s="480">
        <f t="shared" si="17"/>
        <v>0</v>
      </c>
      <c r="D82" s="477">
        <f>D83+D84</f>
        <v>0</v>
      </c>
      <c r="E82" s="477"/>
      <c r="F82" s="477"/>
      <c r="G82" s="477"/>
      <c r="H82" s="477">
        <f>H83+H84</f>
        <v>0</v>
      </c>
      <c r="I82" s="477"/>
      <c r="J82" s="477"/>
      <c r="K82" s="477"/>
      <c r="L82" s="477">
        <f>L83+L84</f>
        <v>0</v>
      </c>
      <c r="M82" s="477"/>
      <c r="N82" s="477"/>
      <c r="O82" s="477"/>
      <c r="P82" s="835">
        <f>P83+P84</f>
        <v>0</v>
      </c>
      <c r="Q82" s="477"/>
      <c r="R82" s="477"/>
      <c r="S82" s="477"/>
      <c r="U82" s="468"/>
      <c r="V82" s="1063">
        <f t="shared" si="16"/>
        <v>0</v>
      </c>
    </row>
    <row r="83" spans="1:22" ht="18.75" hidden="1">
      <c r="A83" s="468" t="s">
        <v>296</v>
      </c>
      <c r="B83" s="479" t="s">
        <v>390</v>
      </c>
      <c r="C83" s="480">
        <f t="shared" si="17"/>
        <v>0</v>
      </c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835"/>
      <c r="Q83" s="477"/>
      <c r="R83" s="477"/>
      <c r="S83" s="477"/>
      <c r="U83" s="468"/>
      <c r="V83" s="1063">
        <f t="shared" si="16"/>
        <v>0</v>
      </c>
    </row>
    <row r="84" spans="1:22" ht="18.75" hidden="1">
      <c r="A84" s="468"/>
      <c r="B84" s="479"/>
      <c r="C84" s="480">
        <f t="shared" si="17"/>
        <v>0</v>
      </c>
      <c r="D84" s="477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835"/>
      <c r="Q84" s="477"/>
      <c r="R84" s="477"/>
      <c r="S84" s="477"/>
      <c r="U84" s="468"/>
      <c r="V84" s="1063">
        <f t="shared" si="16"/>
        <v>0</v>
      </c>
    </row>
    <row r="85" spans="1:22" ht="19.5" hidden="1">
      <c r="A85" s="486" t="s">
        <v>297</v>
      </c>
      <c r="B85" s="479" t="s">
        <v>298</v>
      </c>
      <c r="C85" s="480">
        <f t="shared" si="17"/>
        <v>0</v>
      </c>
      <c r="D85" s="477">
        <f>D86</f>
        <v>0</v>
      </c>
      <c r="E85" s="477"/>
      <c r="F85" s="477"/>
      <c r="G85" s="477"/>
      <c r="H85" s="477">
        <f>H86</f>
        <v>0</v>
      </c>
      <c r="I85" s="477"/>
      <c r="J85" s="477"/>
      <c r="K85" s="477"/>
      <c r="L85" s="477">
        <f>L86</f>
        <v>0</v>
      </c>
      <c r="M85" s="477"/>
      <c r="N85" s="477"/>
      <c r="O85" s="477"/>
      <c r="P85" s="835">
        <f>P86</f>
        <v>0</v>
      </c>
      <c r="Q85" s="477"/>
      <c r="R85" s="477"/>
      <c r="S85" s="477"/>
      <c r="U85" s="468"/>
      <c r="V85" s="1063">
        <f t="shared" si="16"/>
        <v>0</v>
      </c>
    </row>
    <row r="86" spans="1:22" ht="18.75" hidden="1">
      <c r="A86" s="468" t="s">
        <v>328</v>
      </c>
      <c r="B86" s="479" t="s">
        <v>318</v>
      </c>
      <c r="C86" s="480">
        <f t="shared" si="17"/>
        <v>0</v>
      </c>
      <c r="D86" s="477">
        <f>D87+D88</f>
        <v>0</v>
      </c>
      <c r="E86" s="477"/>
      <c r="F86" s="477"/>
      <c r="G86" s="477"/>
      <c r="H86" s="477">
        <f>H87+H88</f>
        <v>0</v>
      </c>
      <c r="I86" s="477"/>
      <c r="J86" s="477"/>
      <c r="K86" s="477"/>
      <c r="L86" s="477">
        <f>L87+L88</f>
        <v>0</v>
      </c>
      <c r="M86" s="477"/>
      <c r="N86" s="477"/>
      <c r="O86" s="477"/>
      <c r="P86" s="835">
        <f>P87+P88</f>
        <v>0</v>
      </c>
      <c r="Q86" s="477"/>
      <c r="R86" s="477"/>
      <c r="S86" s="477"/>
      <c r="U86" s="468"/>
      <c r="V86" s="1063">
        <f t="shared" si="16"/>
        <v>0</v>
      </c>
    </row>
    <row r="87" spans="1:22" ht="18.75" hidden="1">
      <c r="A87" s="468" t="s">
        <v>329</v>
      </c>
      <c r="B87" s="479" t="s">
        <v>391</v>
      </c>
      <c r="C87" s="480">
        <f t="shared" si="17"/>
        <v>0</v>
      </c>
      <c r="D87" s="477"/>
      <c r="E87" s="477"/>
      <c r="F87" s="477"/>
      <c r="G87" s="477"/>
      <c r="H87" s="477"/>
      <c r="I87" s="477"/>
      <c r="J87" s="477"/>
      <c r="K87" s="477"/>
      <c r="L87" s="477"/>
      <c r="M87" s="477"/>
      <c r="N87" s="477"/>
      <c r="O87" s="477"/>
      <c r="P87" s="835"/>
      <c r="Q87" s="477"/>
      <c r="R87" s="477"/>
      <c r="S87" s="477"/>
      <c r="U87" s="468"/>
      <c r="V87" s="1063">
        <f t="shared" si="16"/>
        <v>0</v>
      </c>
    </row>
    <row r="88" spans="1:22" ht="18.75" hidden="1">
      <c r="A88" s="468" t="s">
        <v>330</v>
      </c>
      <c r="B88" s="479" t="s">
        <v>392</v>
      </c>
      <c r="C88" s="480">
        <f t="shared" si="17"/>
        <v>0</v>
      </c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835"/>
      <c r="Q88" s="477"/>
      <c r="R88" s="477"/>
      <c r="S88" s="477"/>
      <c r="U88" s="468"/>
      <c r="V88" s="1063">
        <f t="shared" si="16"/>
        <v>0</v>
      </c>
    </row>
    <row r="89" spans="1:22" ht="18.75" hidden="1">
      <c r="A89" s="468"/>
      <c r="B89" s="468"/>
      <c r="C89" s="480">
        <f t="shared" si="17"/>
        <v>0</v>
      </c>
      <c r="D89" s="492"/>
      <c r="E89" s="492"/>
      <c r="F89" s="492"/>
      <c r="G89" s="492"/>
      <c r="H89" s="492"/>
      <c r="I89" s="492"/>
      <c r="J89" s="492"/>
      <c r="K89" s="492"/>
      <c r="L89" s="492"/>
      <c r="M89" s="492"/>
      <c r="N89" s="492"/>
      <c r="O89" s="492"/>
      <c r="P89" s="839"/>
      <c r="Q89" s="492"/>
      <c r="R89" s="492"/>
      <c r="S89" s="492"/>
      <c r="U89" s="468"/>
      <c r="V89" s="1063">
        <f t="shared" si="16"/>
        <v>0</v>
      </c>
    </row>
    <row r="90" spans="1:22" ht="19.5" hidden="1">
      <c r="A90" s="486" t="s">
        <v>299</v>
      </c>
      <c r="B90" s="479" t="s">
        <v>300</v>
      </c>
      <c r="C90" s="480">
        <f t="shared" si="17"/>
        <v>0</v>
      </c>
      <c r="D90" s="477">
        <f>D91+D92+D94+D93+D95</f>
        <v>0</v>
      </c>
      <c r="E90" s="477"/>
      <c r="F90" s="477"/>
      <c r="G90" s="477"/>
      <c r="H90" s="477">
        <f>H91+H92+H94+H93+H95</f>
        <v>0</v>
      </c>
      <c r="I90" s="477"/>
      <c r="J90" s="477"/>
      <c r="K90" s="477"/>
      <c r="L90" s="477">
        <f>L91+L92+L94+L93+L95</f>
        <v>0</v>
      </c>
      <c r="M90" s="477"/>
      <c r="N90" s="477"/>
      <c r="O90" s="477"/>
      <c r="P90" s="835">
        <f>P91+P92+P94+P93+P95</f>
        <v>0</v>
      </c>
      <c r="Q90" s="477"/>
      <c r="R90" s="477"/>
      <c r="S90" s="477"/>
      <c r="U90" s="468"/>
      <c r="V90" s="1063">
        <f t="shared" si="16"/>
        <v>0</v>
      </c>
    </row>
    <row r="91" spans="1:22" ht="18.75" hidden="1">
      <c r="A91" s="468" t="s">
        <v>301</v>
      </c>
      <c r="B91" s="479" t="s">
        <v>393</v>
      </c>
      <c r="C91" s="480">
        <f t="shared" si="17"/>
        <v>0</v>
      </c>
      <c r="D91" s="480"/>
      <c r="E91" s="480"/>
      <c r="F91" s="480"/>
      <c r="G91" s="480"/>
      <c r="H91" s="480"/>
      <c r="I91" s="480"/>
      <c r="J91" s="480"/>
      <c r="K91" s="480"/>
      <c r="L91" s="480"/>
      <c r="M91" s="480"/>
      <c r="N91" s="480"/>
      <c r="O91" s="480"/>
      <c r="P91" s="834"/>
      <c r="Q91" s="480"/>
      <c r="R91" s="480"/>
      <c r="S91" s="480"/>
      <c r="U91" s="468"/>
      <c r="V91" s="1063">
        <f t="shared" si="16"/>
        <v>0</v>
      </c>
    </row>
    <row r="92" spans="1:22" ht="18.75" hidden="1">
      <c r="A92" s="468" t="s">
        <v>302</v>
      </c>
      <c r="B92" s="479" t="s">
        <v>394</v>
      </c>
      <c r="C92" s="480">
        <f t="shared" si="17"/>
        <v>0</v>
      </c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835"/>
      <c r="Q92" s="477"/>
      <c r="R92" s="477"/>
      <c r="S92" s="477"/>
      <c r="U92" s="468"/>
      <c r="V92" s="1063">
        <f t="shared" si="16"/>
        <v>0</v>
      </c>
    </row>
    <row r="93" spans="1:22" ht="71.25" customHeight="1" hidden="1">
      <c r="A93" s="492" t="s">
        <v>397</v>
      </c>
      <c r="B93" s="479" t="s">
        <v>395</v>
      </c>
      <c r="C93" s="480">
        <f t="shared" si="17"/>
        <v>0</v>
      </c>
      <c r="D93" s="477"/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835"/>
      <c r="Q93" s="477"/>
      <c r="R93" s="477"/>
      <c r="S93" s="477"/>
      <c r="U93" s="468"/>
      <c r="V93" s="1063">
        <f t="shared" si="16"/>
        <v>0</v>
      </c>
    </row>
    <row r="94" spans="1:22" ht="71.25" customHeight="1" hidden="1">
      <c r="A94" s="492" t="s">
        <v>396</v>
      </c>
      <c r="B94" s="476" t="s">
        <v>400</v>
      </c>
      <c r="C94" s="480">
        <f t="shared" si="17"/>
        <v>0</v>
      </c>
      <c r="D94" s="477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835"/>
      <c r="Q94" s="477"/>
      <c r="R94" s="477"/>
      <c r="S94" s="477"/>
      <c r="U94" s="468"/>
      <c r="V94" s="1063">
        <f t="shared" si="16"/>
        <v>0</v>
      </c>
    </row>
    <row r="95" spans="1:22" ht="18.75" hidden="1">
      <c r="A95" s="492" t="s">
        <v>398</v>
      </c>
      <c r="B95" s="479" t="s">
        <v>399</v>
      </c>
      <c r="C95" s="480">
        <f t="shared" si="17"/>
        <v>0</v>
      </c>
      <c r="D95" s="477"/>
      <c r="E95" s="477"/>
      <c r="F95" s="477"/>
      <c r="G95" s="477"/>
      <c r="H95" s="477"/>
      <c r="I95" s="477"/>
      <c r="J95" s="477"/>
      <c r="K95" s="477"/>
      <c r="L95" s="477"/>
      <c r="M95" s="477"/>
      <c r="N95" s="477"/>
      <c r="O95" s="477"/>
      <c r="P95" s="835"/>
      <c r="Q95" s="477"/>
      <c r="R95" s="477"/>
      <c r="S95" s="477"/>
      <c r="U95" s="468"/>
      <c r="V95" s="1063">
        <f t="shared" si="16"/>
        <v>0</v>
      </c>
    </row>
    <row r="96" spans="1:22" ht="18.75" hidden="1">
      <c r="A96" s="492"/>
      <c r="B96" s="479"/>
      <c r="C96" s="480">
        <f t="shared" si="17"/>
        <v>0</v>
      </c>
      <c r="D96" s="477"/>
      <c r="E96" s="477"/>
      <c r="F96" s="477"/>
      <c r="G96" s="477"/>
      <c r="H96" s="477"/>
      <c r="I96" s="477"/>
      <c r="J96" s="477"/>
      <c r="K96" s="477"/>
      <c r="L96" s="477"/>
      <c r="M96" s="477"/>
      <c r="N96" s="477"/>
      <c r="O96" s="477"/>
      <c r="P96" s="835"/>
      <c r="Q96" s="477"/>
      <c r="R96" s="477"/>
      <c r="S96" s="477"/>
      <c r="U96" s="468"/>
      <c r="V96" s="1063">
        <f t="shared" si="16"/>
        <v>0</v>
      </c>
    </row>
    <row r="97" spans="1:22" ht="19.5" hidden="1">
      <c r="A97" s="486" t="s">
        <v>303</v>
      </c>
      <c r="B97" s="479" t="s">
        <v>304</v>
      </c>
      <c r="C97" s="480">
        <f t="shared" si="17"/>
        <v>0</v>
      </c>
      <c r="D97" s="480">
        <f>D98</f>
        <v>0</v>
      </c>
      <c r="E97" s="480"/>
      <c r="F97" s="480"/>
      <c r="G97" s="480"/>
      <c r="H97" s="480">
        <f>H98</f>
        <v>0</v>
      </c>
      <c r="I97" s="480"/>
      <c r="J97" s="480"/>
      <c r="K97" s="480"/>
      <c r="L97" s="480">
        <f>L98</f>
        <v>0</v>
      </c>
      <c r="M97" s="480"/>
      <c r="N97" s="480"/>
      <c r="O97" s="480"/>
      <c r="P97" s="834">
        <f>P98</f>
        <v>0</v>
      </c>
      <c r="Q97" s="480"/>
      <c r="R97" s="480"/>
      <c r="S97" s="480"/>
      <c r="U97" s="468"/>
      <c r="V97" s="1063">
        <f t="shared" si="16"/>
        <v>0</v>
      </c>
    </row>
    <row r="98" spans="1:22" ht="18.75" hidden="1">
      <c r="A98" s="492" t="s">
        <v>319</v>
      </c>
      <c r="B98" s="476" t="s">
        <v>419</v>
      </c>
      <c r="C98" s="480">
        <f t="shared" si="17"/>
        <v>0</v>
      </c>
      <c r="D98" s="477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835"/>
      <c r="Q98" s="477"/>
      <c r="R98" s="477"/>
      <c r="S98" s="477"/>
      <c r="U98" s="468"/>
      <c r="V98" s="1063">
        <f t="shared" si="16"/>
        <v>0</v>
      </c>
    </row>
    <row r="99" spans="1:22" ht="18.75" hidden="1">
      <c r="A99" s="468"/>
      <c r="B99" s="468"/>
      <c r="C99" s="480">
        <f t="shared" si="17"/>
        <v>0</v>
      </c>
      <c r="D99" s="492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839"/>
      <c r="Q99" s="492"/>
      <c r="R99" s="492"/>
      <c r="S99" s="492"/>
      <c r="U99" s="468"/>
      <c r="V99" s="1063">
        <f t="shared" si="16"/>
        <v>0</v>
      </c>
    </row>
    <row r="100" spans="1:22" ht="18.75" hidden="1">
      <c r="A100" s="487"/>
      <c r="B100" s="479"/>
      <c r="C100" s="480">
        <f t="shared" si="17"/>
        <v>0</v>
      </c>
      <c r="D100" s="477"/>
      <c r="E100" s="477"/>
      <c r="F100" s="477"/>
      <c r="G100" s="477"/>
      <c r="H100" s="477"/>
      <c r="I100" s="477"/>
      <c r="J100" s="477"/>
      <c r="K100" s="477"/>
      <c r="L100" s="477"/>
      <c r="M100" s="477"/>
      <c r="N100" s="477"/>
      <c r="O100" s="477"/>
      <c r="P100" s="835"/>
      <c r="Q100" s="477"/>
      <c r="R100" s="477"/>
      <c r="S100" s="477"/>
      <c r="U100" s="468"/>
      <c r="V100" s="1063">
        <f t="shared" si="16"/>
        <v>0</v>
      </c>
    </row>
    <row r="101" spans="1:22" s="96" customFormat="1" ht="12" customHeight="1" hidden="1">
      <c r="A101" s="490"/>
      <c r="B101" s="519"/>
      <c r="C101" s="498"/>
      <c r="D101" s="480"/>
      <c r="E101" s="480"/>
      <c r="F101" s="480"/>
      <c r="G101" s="480"/>
      <c r="H101" s="480"/>
      <c r="I101" s="480"/>
      <c r="J101" s="480"/>
      <c r="K101" s="480"/>
      <c r="L101" s="480"/>
      <c r="M101" s="480"/>
      <c r="N101" s="480"/>
      <c r="O101" s="480"/>
      <c r="P101" s="834"/>
      <c r="Q101" s="480"/>
      <c r="R101" s="480"/>
      <c r="S101" s="480"/>
      <c r="U101" s="492"/>
      <c r="V101" s="1063">
        <f t="shared" si="16"/>
        <v>0</v>
      </c>
    </row>
    <row r="102" spans="1:22" ht="30.75" customHeight="1">
      <c r="A102" s="507" t="s">
        <v>305</v>
      </c>
      <c r="B102" s="505" t="s">
        <v>717</v>
      </c>
      <c r="C102" s="851">
        <f>C103</f>
        <v>2287.72</v>
      </c>
      <c r="D102" s="851">
        <f aca="true" t="shared" si="18" ref="D102:U102">D103</f>
        <v>1258.36028</v>
      </c>
      <c r="E102" s="851">
        <f t="shared" si="18"/>
        <v>98.36028</v>
      </c>
      <c r="F102" s="851">
        <f t="shared" si="18"/>
        <v>98.36028</v>
      </c>
      <c r="G102" s="851">
        <f t="shared" si="18"/>
        <v>98.36028</v>
      </c>
      <c r="H102" s="851">
        <f t="shared" si="18"/>
        <v>1258.36028</v>
      </c>
      <c r="I102" s="851">
        <f t="shared" si="18"/>
        <v>98.36028</v>
      </c>
      <c r="J102" s="851">
        <f t="shared" si="18"/>
        <v>98.36028</v>
      </c>
      <c r="K102" s="851">
        <f t="shared" si="18"/>
        <v>98.36028</v>
      </c>
      <c r="L102" s="851">
        <f t="shared" si="18"/>
        <v>15704.86028</v>
      </c>
      <c r="M102" s="851">
        <f t="shared" si="18"/>
        <v>98.36028</v>
      </c>
      <c r="N102" s="851">
        <f t="shared" si="18"/>
        <v>98.36028</v>
      </c>
      <c r="O102" s="851">
        <f t="shared" si="18"/>
        <v>98.36028</v>
      </c>
      <c r="P102" s="851">
        <f t="shared" si="18"/>
        <v>1257.86028</v>
      </c>
      <c r="Q102" s="851">
        <f t="shared" si="18"/>
        <v>98.36028</v>
      </c>
      <c r="R102" s="851">
        <f t="shared" si="18"/>
        <v>98.36028</v>
      </c>
      <c r="S102" s="851">
        <f t="shared" si="18"/>
        <v>98.36028</v>
      </c>
      <c r="T102" s="851">
        <f t="shared" si="18"/>
        <v>98.36028</v>
      </c>
      <c r="U102" s="851">
        <f t="shared" si="18"/>
        <v>33.239979999999996</v>
      </c>
      <c r="V102" s="854">
        <f t="shared" si="16"/>
        <v>2320.9599799999996</v>
      </c>
    </row>
    <row r="103" spans="1:22" ht="50.25" customHeight="1">
      <c r="A103" s="487" t="s">
        <v>230</v>
      </c>
      <c r="B103" s="479" t="s">
        <v>710</v>
      </c>
      <c r="C103" s="850">
        <f>C104+C106+C115+C118</f>
        <v>2287.72</v>
      </c>
      <c r="D103" s="850">
        <f aca="true" t="shared" si="19" ref="D103:T103">D104+D106+D115+D118</f>
        <v>1258.36028</v>
      </c>
      <c r="E103" s="850">
        <f t="shared" si="19"/>
        <v>98.36028</v>
      </c>
      <c r="F103" s="850">
        <f t="shared" si="19"/>
        <v>98.36028</v>
      </c>
      <c r="G103" s="850">
        <f t="shared" si="19"/>
        <v>98.36028</v>
      </c>
      <c r="H103" s="850">
        <f t="shared" si="19"/>
        <v>1258.36028</v>
      </c>
      <c r="I103" s="850">
        <f t="shared" si="19"/>
        <v>98.36028</v>
      </c>
      <c r="J103" s="850">
        <f t="shared" si="19"/>
        <v>98.36028</v>
      </c>
      <c r="K103" s="850">
        <f t="shared" si="19"/>
        <v>98.36028</v>
      </c>
      <c r="L103" s="850">
        <f t="shared" si="19"/>
        <v>15704.86028</v>
      </c>
      <c r="M103" s="850">
        <f t="shared" si="19"/>
        <v>98.36028</v>
      </c>
      <c r="N103" s="850">
        <f t="shared" si="19"/>
        <v>98.36028</v>
      </c>
      <c r="O103" s="850">
        <f t="shared" si="19"/>
        <v>98.36028</v>
      </c>
      <c r="P103" s="850">
        <f t="shared" si="19"/>
        <v>1257.86028</v>
      </c>
      <c r="Q103" s="850">
        <f t="shared" si="19"/>
        <v>98.36028</v>
      </c>
      <c r="R103" s="850">
        <f t="shared" si="19"/>
        <v>98.36028</v>
      </c>
      <c r="S103" s="850">
        <f t="shared" si="19"/>
        <v>98.36028</v>
      </c>
      <c r="T103" s="850">
        <f t="shared" si="19"/>
        <v>98.36028</v>
      </c>
      <c r="U103" s="850">
        <f>U104+U106+U115+U118+U117</f>
        <v>33.239979999999996</v>
      </c>
      <c r="V103" s="1064">
        <f t="shared" si="16"/>
        <v>2320.9599799999996</v>
      </c>
    </row>
    <row r="104" spans="1:22" s="520" customFormat="1" ht="27.75" customHeight="1">
      <c r="A104" s="504" t="s">
        <v>231</v>
      </c>
      <c r="B104" s="478" t="s">
        <v>711</v>
      </c>
      <c r="C104" s="509">
        <f>C105</f>
        <v>1376.4</v>
      </c>
      <c r="D104" s="509">
        <f aca="true" t="shared" si="20" ref="D104:U104">D105</f>
        <v>1100</v>
      </c>
      <c r="E104" s="509">
        <f t="shared" si="20"/>
        <v>0</v>
      </c>
      <c r="F104" s="509">
        <f t="shared" si="20"/>
        <v>0</v>
      </c>
      <c r="G104" s="509">
        <f t="shared" si="20"/>
        <v>0</v>
      </c>
      <c r="H104" s="509">
        <f t="shared" si="20"/>
        <v>1100</v>
      </c>
      <c r="I104" s="509">
        <f t="shared" si="20"/>
        <v>0</v>
      </c>
      <c r="J104" s="509">
        <f t="shared" si="20"/>
        <v>0</v>
      </c>
      <c r="K104" s="509">
        <f t="shared" si="20"/>
        <v>0</v>
      </c>
      <c r="L104" s="509">
        <f t="shared" si="20"/>
        <v>1100</v>
      </c>
      <c r="M104" s="509">
        <f t="shared" si="20"/>
        <v>0</v>
      </c>
      <c r="N104" s="509">
        <f t="shared" si="20"/>
        <v>0</v>
      </c>
      <c r="O104" s="509">
        <f t="shared" si="20"/>
        <v>0</v>
      </c>
      <c r="P104" s="509">
        <f t="shared" si="20"/>
        <v>1100</v>
      </c>
      <c r="Q104" s="509">
        <f t="shared" si="20"/>
        <v>0</v>
      </c>
      <c r="R104" s="509">
        <f t="shared" si="20"/>
        <v>0</v>
      </c>
      <c r="S104" s="509">
        <f t="shared" si="20"/>
        <v>0</v>
      </c>
      <c r="T104" s="509">
        <f t="shared" si="20"/>
        <v>0</v>
      </c>
      <c r="U104" s="509">
        <f t="shared" si="20"/>
        <v>0</v>
      </c>
      <c r="V104" s="1064">
        <f t="shared" si="16"/>
        <v>1376.4</v>
      </c>
    </row>
    <row r="105" spans="1:22" ht="51" customHeight="1">
      <c r="A105" s="487" t="s">
        <v>232</v>
      </c>
      <c r="B105" s="479" t="s">
        <v>712</v>
      </c>
      <c r="C105" s="511">
        <v>1376.4</v>
      </c>
      <c r="D105" s="477">
        <v>1100</v>
      </c>
      <c r="E105" s="477"/>
      <c r="F105" s="477"/>
      <c r="G105" s="477"/>
      <c r="H105" s="477">
        <v>1100</v>
      </c>
      <c r="I105" s="477"/>
      <c r="J105" s="477"/>
      <c r="K105" s="477"/>
      <c r="L105" s="477">
        <v>1100</v>
      </c>
      <c r="M105" s="477"/>
      <c r="N105" s="477"/>
      <c r="O105" s="477"/>
      <c r="P105" s="840">
        <v>1100</v>
      </c>
      <c r="Q105" s="512"/>
      <c r="R105" s="512"/>
      <c r="S105" s="512"/>
      <c r="U105" s="468"/>
      <c r="V105" s="1063">
        <f t="shared" si="16"/>
        <v>1376.4</v>
      </c>
    </row>
    <row r="106" spans="1:22" s="520" customFormat="1" ht="18.75" customHeight="1">
      <c r="A106" s="504" t="s">
        <v>543</v>
      </c>
      <c r="B106" s="478" t="s">
        <v>344</v>
      </c>
      <c r="C106" s="509">
        <f>C110</f>
        <v>541.1</v>
      </c>
      <c r="D106" s="509">
        <f aca="true" t="shared" si="21" ref="D106:U106">D110</f>
        <v>0</v>
      </c>
      <c r="E106" s="509">
        <f t="shared" si="21"/>
        <v>0</v>
      </c>
      <c r="F106" s="509">
        <f t="shared" si="21"/>
        <v>0</v>
      </c>
      <c r="G106" s="509">
        <f t="shared" si="21"/>
        <v>0</v>
      </c>
      <c r="H106" s="509">
        <f t="shared" si="21"/>
        <v>0</v>
      </c>
      <c r="I106" s="509">
        <f t="shared" si="21"/>
        <v>0</v>
      </c>
      <c r="J106" s="509">
        <f t="shared" si="21"/>
        <v>0</v>
      </c>
      <c r="K106" s="509">
        <f t="shared" si="21"/>
        <v>0</v>
      </c>
      <c r="L106" s="509">
        <f t="shared" si="21"/>
        <v>14446.5</v>
      </c>
      <c r="M106" s="509">
        <f t="shared" si="21"/>
        <v>0</v>
      </c>
      <c r="N106" s="509">
        <f t="shared" si="21"/>
        <v>0</v>
      </c>
      <c r="O106" s="509">
        <f t="shared" si="21"/>
        <v>0</v>
      </c>
      <c r="P106" s="509">
        <f t="shared" si="21"/>
        <v>0</v>
      </c>
      <c r="Q106" s="509">
        <f t="shared" si="21"/>
        <v>0</v>
      </c>
      <c r="R106" s="509">
        <f t="shared" si="21"/>
        <v>0</v>
      </c>
      <c r="S106" s="509">
        <f t="shared" si="21"/>
        <v>0</v>
      </c>
      <c r="T106" s="509">
        <f t="shared" si="21"/>
        <v>0</v>
      </c>
      <c r="U106" s="509">
        <f t="shared" si="21"/>
        <v>-70.4</v>
      </c>
      <c r="V106" s="1064">
        <f t="shared" si="16"/>
        <v>470.70000000000005</v>
      </c>
    </row>
    <row r="107" spans="1:23" s="520" customFormat="1" ht="37.5" hidden="1">
      <c r="A107" s="504" t="s">
        <v>545</v>
      </c>
      <c r="B107" s="478" t="s">
        <v>787</v>
      </c>
      <c r="C107" s="509">
        <f>D107+H107+L107++P107</f>
        <v>0</v>
      </c>
      <c r="D107" s="480"/>
      <c r="E107" s="480"/>
      <c r="F107" s="480"/>
      <c r="G107" s="480"/>
      <c r="H107" s="480">
        <v>0</v>
      </c>
      <c r="I107" s="480"/>
      <c r="J107" s="480"/>
      <c r="K107" s="480"/>
      <c r="L107" s="480"/>
      <c r="M107" s="480"/>
      <c r="N107" s="480"/>
      <c r="O107" s="480"/>
      <c r="P107" s="834"/>
      <c r="Q107" s="480"/>
      <c r="R107" s="480"/>
      <c r="S107" s="480"/>
      <c r="U107" s="493"/>
      <c r="V107" s="1064">
        <f t="shared" si="16"/>
        <v>0</v>
      </c>
      <c r="W107" s="545"/>
    </row>
    <row r="108" spans="1:23" ht="56.25" hidden="1">
      <c r="A108" s="504" t="s">
        <v>789</v>
      </c>
      <c r="B108" s="479" t="s">
        <v>786</v>
      </c>
      <c r="C108" s="511"/>
      <c r="D108" s="477"/>
      <c r="E108" s="477"/>
      <c r="F108" s="477"/>
      <c r="G108" s="477"/>
      <c r="H108" s="477"/>
      <c r="I108" s="477"/>
      <c r="J108" s="477"/>
      <c r="K108" s="477"/>
      <c r="L108" s="477"/>
      <c r="M108" s="477"/>
      <c r="N108" s="477"/>
      <c r="O108" s="477"/>
      <c r="P108" s="835"/>
      <c r="Q108" s="477"/>
      <c r="R108" s="477"/>
      <c r="S108" s="477"/>
      <c r="U108" s="468"/>
      <c r="V108" s="1064">
        <f t="shared" si="16"/>
        <v>0</v>
      </c>
      <c r="W108" s="518"/>
    </row>
    <row r="109" spans="1:23" ht="75" hidden="1">
      <c r="A109" s="487" t="s">
        <v>788</v>
      </c>
      <c r="B109" s="479" t="s">
        <v>544</v>
      </c>
      <c r="C109" s="511"/>
      <c r="D109" s="477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835"/>
      <c r="Q109" s="477"/>
      <c r="R109" s="477"/>
      <c r="S109" s="477"/>
      <c r="U109" s="468"/>
      <c r="V109" s="1064">
        <f t="shared" si="16"/>
        <v>0</v>
      </c>
      <c r="W109" s="518"/>
    </row>
    <row r="110" spans="1:22" ht="18.75">
      <c r="A110" s="493" t="s">
        <v>708</v>
      </c>
      <c r="B110" s="478" t="s">
        <v>709</v>
      </c>
      <c r="C110" s="509">
        <f>C111</f>
        <v>541.1</v>
      </c>
      <c r="D110" s="509">
        <f aca="true" t="shared" si="22" ref="D110:U110">D111</f>
        <v>0</v>
      </c>
      <c r="E110" s="509">
        <f t="shared" si="22"/>
        <v>0</v>
      </c>
      <c r="F110" s="509">
        <f t="shared" si="22"/>
        <v>0</v>
      </c>
      <c r="G110" s="509">
        <f t="shared" si="22"/>
        <v>0</v>
      </c>
      <c r="H110" s="509">
        <f t="shared" si="22"/>
        <v>0</v>
      </c>
      <c r="I110" s="509">
        <f t="shared" si="22"/>
        <v>0</v>
      </c>
      <c r="J110" s="509">
        <f t="shared" si="22"/>
        <v>0</v>
      </c>
      <c r="K110" s="509">
        <f t="shared" si="22"/>
        <v>0</v>
      </c>
      <c r="L110" s="509">
        <f t="shared" si="22"/>
        <v>14446.5</v>
      </c>
      <c r="M110" s="509">
        <f t="shared" si="22"/>
        <v>0</v>
      </c>
      <c r="N110" s="509">
        <f t="shared" si="22"/>
        <v>0</v>
      </c>
      <c r="O110" s="509">
        <f t="shared" si="22"/>
        <v>0</v>
      </c>
      <c r="P110" s="509">
        <f t="shared" si="22"/>
        <v>0</v>
      </c>
      <c r="Q110" s="509">
        <f t="shared" si="22"/>
        <v>0</v>
      </c>
      <c r="R110" s="509">
        <f t="shared" si="22"/>
        <v>0</v>
      </c>
      <c r="S110" s="509">
        <f t="shared" si="22"/>
        <v>0</v>
      </c>
      <c r="T110" s="509">
        <f t="shared" si="22"/>
        <v>0</v>
      </c>
      <c r="U110" s="509">
        <f t="shared" si="22"/>
        <v>-70.4</v>
      </c>
      <c r="V110" s="1064">
        <f t="shared" si="16"/>
        <v>470.70000000000005</v>
      </c>
    </row>
    <row r="111" spans="1:22" ht="42.75" customHeight="1">
      <c r="A111" s="487" t="s">
        <v>1239</v>
      </c>
      <c r="B111" s="479"/>
      <c r="C111" s="511">
        <v>541.1</v>
      </c>
      <c r="D111" s="476">
        <v>0</v>
      </c>
      <c r="E111" s="476"/>
      <c r="F111" s="476"/>
      <c r="G111" s="476"/>
      <c r="H111" s="476">
        <v>0</v>
      </c>
      <c r="I111" s="476"/>
      <c r="J111" s="476"/>
      <c r="K111" s="476"/>
      <c r="L111" s="510">
        <v>14446.5</v>
      </c>
      <c r="M111" s="510"/>
      <c r="N111" s="510"/>
      <c r="O111" s="510"/>
      <c r="P111" s="841">
        <v>0</v>
      </c>
      <c r="Q111" s="476"/>
      <c r="R111" s="476"/>
      <c r="S111" s="476"/>
      <c r="U111" s="479">
        <v>-70.4</v>
      </c>
      <c r="V111" s="1063">
        <f t="shared" si="16"/>
        <v>470.70000000000005</v>
      </c>
    </row>
    <row r="112" spans="1:22" ht="67.5" customHeight="1" hidden="1">
      <c r="A112" s="487" t="s">
        <v>526</v>
      </c>
      <c r="B112" s="479" t="s">
        <v>714</v>
      </c>
      <c r="C112" s="511">
        <f>D112+H112+L112++P112</f>
        <v>0</v>
      </c>
      <c r="D112" s="468"/>
      <c r="E112" s="468"/>
      <c r="F112" s="468"/>
      <c r="G112" s="468"/>
      <c r="H112" s="479">
        <v>0</v>
      </c>
      <c r="I112" s="468"/>
      <c r="J112" s="468"/>
      <c r="K112" s="468"/>
      <c r="L112" s="479">
        <v>0</v>
      </c>
      <c r="M112" s="479"/>
      <c r="N112" s="479"/>
      <c r="O112" s="479"/>
      <c r="P112" s="833"/>
      <c r="Q112" s="468"/>
      <c r="R112" s="468"/>
      <c r="S112" s="468"/>
      <c r="U112" s="468"/>
      <c r="V112" s="1063">
        <f t="shared" si="16"/>
        <v>0</v>
      </c>
    </row>
    <row r="113" spans="1:22" ht="18.75" hidden="1">
      <c r="A113" s="487" t="s">
        <v>527</v>
      </c>
      <c r="B113" s="479" t="s">
        <v>714</v>
      </c>
      <c r="C113" s="511">
        <f>D113+H113+L113++P113</f>
        <v>0</v>
      </c>
      <c r="D113" s="468"/>
      <c r="E113" s="468"/>
      <c r="F113" s="468"/>
      <c r="G113" s="468"/>
      <c r="H113" s="479">
        <v>0</v>
      </c>
      <c r="I113" s="468"/>
      <c r="J113" s="468"/>
      <c r="K113" s="468"/>
      <c r="L113" s="479"/>
      <c r="M113" s="479"/>
      <c r="N113" s="479"/>
      <c r="O113" s="479"/>
      <c r="P113" s="833"/>
      <c r="Q113" s="468"/>
      <c r="R113" s="468"/>
      <c r="S113" s="468"/>
      <c r="U113" s="468"/>
      <c r="V113" s="1063">
        <f t="shared" si="16"/>
        <v>0</v>
      </c>
    </row>
    <row r="114" spans="1:22" ht="26.25" customHeight="1">
      <c r="A114" s="487" t="s">
        <v>321</v>
      </c>
      <c r="B114" s="479" t="s">
        <v>714</v>
      </c>
      <c r="C114" s="511">
        <f>D114+H114+L114++P114</f>
        <v>0</v>
      </c>
      <c r="D114" s="468"/>
      <c r="E114" s="468"/>
      <c r="F114" s="468"/>
      <c r="G114" s="468"/>
      <c r="H114" s="479"/>
      <c r="I114" s="468"/>
      <c r="J114" s="468"/>
      <c r="K114" s="468"/>
      <c r="L114" s="479">
        <v>0</v>
      </c>
      <c r="M114" s="479"/>
      <c r="N114" s="479"/>
      <c r="O114" s="479"/>
      <c r="P114" s="833"/>
      <c r="Q114" s="468"/>
      <c r="R114" s="468"/>
      <c r="S114" s="468"/>
      <c r="U114" s="468"/>
      <c r="V114" s="1063">
        <f t="shared" si="16"/>
        <v>0</v>
      </c>
    </row>
    <row r="115" spans="1:22" ht="18.75">
      <c r="A115" s="493" t="s">
        <v>233</v>
      </c>
      <c r="B115" s="478" t="s">
        <v>715</v>
      </c>
      <c r="C115" s="848">
        <f>C116</f>
        <v>140.1</v>
      </c>
      <c r="D115" s="848">
        <f aca="true" t="shared" si="23" ref="D115:U115">D116</f>
        <v>60</v>
      </c>
      <c r="E115" s="848">
        <f t="shared" si="23"/>
        <v>0</v>
      </c>
      <c r="F115" s="848">
        <f t="shared" si="23"/>
        <v>0</v>
      </c>
      <c r="G115" s="848">
        <f t="shared" si="23"/>
        <v>0</v>
      </c>
      <c r="H115" s="848">
        <f t="shared" si="23"/>
        <v>60</v>
      </c>
      <c r="I115" s="848">
        <f t="shared" si="23"/>
        <v>0</v>
      </c>
      <c r="J115" s="848">
        <f t="shared" si="23"/>
        <v>0</v>
      </c>
      <c r="K115" s="848">
        <f t="shared" si="23"/>
        <v>0</v>
      </c>
      <c r="L115" s="848">
        <f t="shared" si="23"/>
        <v>60</v>
      </c>
      <c r="M115" s="848">
        <f t="shared" si="23"/>
        <v>0</v>
      </c>
      <c r="N115" s="848">
        <f t="shared" si="23"/>
        <v>0</v>
      </c>
      <c r="O115" s="848">
        <f t="shared" si="23"/>
        <v>0</v>
      </c>
      <c r="P115" s="848">
        <f t="shared" si="23"/>
        <v>59.5</v>
      </c>
      <c r="Q115" s="848">
        <f t="shared" si="23"/>
        <v>0</v>
      </c>
      <c r="R115" s="848">
        <f t="shared" si="23"/>
        <v>0</v>
      </c>
      <c r="S115" s="848">
        <f t="shared" si="23"/>
        <v>0</v>
      </c>
      <c r="T115" s="848">
        <f t="shared" si="23"/>
        <v>0</v>
      </c>
      <c r="U115" s="848">
        <f t="shared" si="23"/>
        <v>53</v>
      </c>
      <c r="V115" s="1064">
        <f t="shared" si="16"/>
        <v>193.1</v>
      </c>
    </row>
    <row r="116" spans="1:22" ht="57.75" customHeight="1">
      <c r="A116" s="487" t="s">
        <v>234</v>
      </c>
      <c r="B116" s="479" t="s">
        <v>716</v>
      </c>
      <c r="C116" s="849">
        <v>140.1</v>
      </c>
      <c r="D116" s="512">
        <v>60</v>
      </c>
      <c r="E116" s="477"/>
      <c r="F116" s="477"/>
      <c r="G116" s="477"/>
      <c r="H116" s="512">
        <v>60</v>
      </c>
      <c r="I116" s="512"/>
      <c r="J116" s="512"/>
      <c r="K116" s="512"/>
      <c r="L116" s="477">
        <v>60</v>
      </c>
      <c r="M116" s="477"/>
      <c r="N116" s="477"/>
      <c r="O116" s="477"/>
      <c r="P116" s="840">
        <v>59.5</v>
      </c>
      <c r="Q116" s="512"/>
      <c r="R116" s="512"/>
      <c r="S116" s="512"/>
      <c r="U116" s="1066">
        <v>53</v>
      </c>
      <c r="V116" s="1063">
        <f t="shared" si="16"/>
        <v>193.1</v>
      </c>
    </row>
    <row r="117" spans="1:22" ht="37.5" customHeight="1">
      <c r="A117" s="487"/>
      <c r="B117" s="479" t="s">
        <v>1194</v>
      </c>
      <c r="C117" s="849"/>
      <c r="D117" s="512"/>
      <c r="E117" s="477"/>
      <c r="F117" s="477"/>
      <c r="G117" s="477"/>
      <c r="H117" s="512"/>
      <c r="I117" s="512"/>
      <c r="J117" s="512"/>
      <c r="K117" s="512"/>
      <c r="L117" s="477"/>
      <c r="M117" s="477"/>
      <c r="N117" s="477"/>
      <c r="O117" s="477"/>
      <c r="P117" s="840"/>
      <c r="Q117" s="512"/>
      <c r="R117" s="512"/>
      <c r="S117" s="512"/>
      <c r="U117" s="1073">
        <v>50.63998</v>
      </c>
      <c r="V117" s="1063">
        <f t="shared" si="16"/>
        <v>50.63998</v>
      </c>
    </row>
    <row r="118" spans="1:22" ht="55.5" customHeight="1">
      <c r="A118" s="504" t="s">
        <v>1249</v>
      </c>
      <c r="B118" s="478" t="s">
        <v>1250</v>
      </c>
      <c r="C118" s="850">
        <v>230.12</v>
      </c>
      <c r="D118" s="850">
        <v>98.36028</v>
      </c>
      <c r="E118" s="850">
        <v>98.36028</v>
      </c>
      <c r="F118" s="850">
        <v>98.36028</v>
      </c>
      <c r="G118" s="850">
        <v>98.36028</v>
      </c>
      <c r="H118" s="850">
        <v>98.36028</v>
      </c>
      <c r="I118" s="850">
        <v>98.36028</v>
      </c>
      <c r="J118" s="850">
        <v>98.36028</v>
      </c>
      <c r="K118" s="850">
        <v>98.36028</v>
      </c>
      <c r="L118" s="850">
        <v>98.36028</v>
      </c>
      <c r="M118" s="850">
        <v>98.36028</v>
      </c>
      <c r="N118" s="850">
        <v>98.36028</v>
      </c>
      <c r="O118" s="850">
        <v>98.36028</v>
      </c>
      <c r="P118" s="850">
        <v>98.36028</v>
      </c>
      <c r="Q118" s="850">
        <v>98.36028</v>
      </c>
      <c r="R118" s="850">
        <v>98.36028</v>
      </c>
      <c r="S118" s="850">
        <v>98.36028</v>
      </c>
      <c r="T118" s="850">
        <v>98.36028</v>
      </c>
      <c r="U118" s="1065"/>
      <c r="V118" s="1064">
        <f t="shared" si="16"/>
        <v>230.12</v>
      </c>
    </row>
    <row r="119" spans="1:22" ht="18.75">
      <c r="A119" s="852" t="s">
        <v>307</v>
      </c>
      <c r="B119" s="853"/>
      <c r="C119" s="854">
        <f>C102+C13</f>
        <v>3567.72</v>
      </c>
      <c r="D119" s="854">
        <f aca="true" t="shared" si="24" ref="D119:U119">D102+D13</f>
        <v>3178.36028</v>
      </c>
      <c r="E119" s="854">
        <f t="shared" si="24"/>
        <v>733.36028</v>
      </c>
      <c r="F119" s="854">
        <f t="shared" si="24"/>
        <v>734.36028</v>
      </c>
      <c r="G119" s="854">
        <f t="shared" si="24"/>
        <v>747.36028</v>
      </c>
      <c r="H119" s="854">
        <f t="shared" si="24"/>
        <v>3209.36028</v>
      </c>
      <c r="I119" s="854">
        <f t="shared" si="24"/>
        <v>748.36028</v>
      </c>
      <c r="J119" s="854">
        <f t="shared" si="24"/>
        <v>748.36028</v>
      </c>
      <c r="K119" s="854">
        <f t="shared" si="24"/>
        <v>749.36028</v>
      </c>
      <c r="L119" s="854">
        <f t="shared" si="24"/>
        <v>17838.86028</v>
      </c>
      <c r="M119" s="854">
        <f t="shared" si="24"/>
        <v>797.36028</v>
      </c>
      <c r="N119" s="854">
        <f t="shared" si="24"/>
        <v>796.36028</v>
      </c>
      <c r="O119" s="854">
        <f t="shared" si="24"/>
        <v>835.36028</v>
      </c>
      <c r="P119" s="854">
        <f t="shared" si="24"/>
        <v>3907.86028</v>
      </c>
      <c r="Q119" s="854">
        <f t="shared" si="24"/>
        <v>818.36028</v>
      </c>
      <c r="R119" s="854">
        <f t="shared" si="24"/>
        <v>1067.36028</v>
      </c>
      <c r="S119" s="854">
        <f t="shared" si="24"/>
        <v>1059.36028</v>
      </c>
      <c r="T119" s="854">
        <f t="shared" si="24"/>
        <v>98.36028</v>
      </c>
      <c r="U119" s="854">
        <f t="shared" si="24"/>
        <v>33.239979999999996</v>
      </c>
      <c r="V119" s="854">
        <f>C119+U119</f>
        <v>3600.9599799999996</v>
      </c>
    </row>
    <row r="120" spans="2:20" ht="18.75" hidden="1">
      <c r="B120" s="515"/>
      <c r="C120" s="804">
        <f>C13*5/100</f>
        <v>64</v>
      </c>
      <c r="T120" s="518"/>
    </row>
    <row r="121" spans="1:3" ht="18.75" hidden="1">
      <c r="A121" s="458" t="s">
        <v>771</v>
      </c>
      <c r="C121" s="516"/>
    </row>
    <row r="122" spans="1:3" ht="18.75" hidden="1">
      <c r="A122" s="517" t="s">
        <v>772</v>
      </c>
      <c r="C122" s="458" t="s">
        <v>773</v>
      </c>
    </row>
    <row r="123" spans="3:4" ht="18.75" hidden="1">
      <c r="C123" s="800">
        <f>C119+C120</f>
        <v>3631.72</v>
      </c>
      <c r="D123" s="518"/>
    </row>
    <row r="124" spans="1:2" ht="18.75">
      <c r="A124" s="523" t="s">
        <v>308</v>
      </c>
      <c r="B124" s="463"/>
    </row>
  </sheetData>
  <sheetProtection/>
  <mergeCells count="2">
    <mergeCell ref="A6:P6"/>
    <mergeCell ref="A7:P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39"/>
  <sheetViews>
    <sheetView showZeros="0" view="pageBreakPreview" zoomScale="75" zoomScaleSheetLayoutView="75" zoomScalePageLayoutView="0" workbookViewId="0" topLeftCell="A2">
      <selection activeCell="S27" sqref="S27"/>
    </sheetView>
  </sheetViews>
  <sheetFormatPr defaultColWidth="9.00390625" defaultRowHeight="12.75"/>
  <cols>
    <col min="1" max="1" width="31.875" style="0" customWidth="1"/>
    <col min="2" max="2" width="9.25390625" style="0" customWidth="1"/>
    <col min="3" max="3" width="7.125" style="0" customWidth="1"/>
    <col min="4" max="4" width="11.00390625" style="0" customWidth="1"/>
    <col min="5" max="5" width="6.875" style="0" customWidth="1"/>
    <col min="6" max="6" width="8.25390625" style="0" customWidth="1"/>
    <col min="7" max="7" width="8.375" style="0" customWidth="1"/>
    <col min="8" max="8" width="12.875" style="0" customWidth="1"/>
    <col min="9" max="9" width="9.25390625" style="0" customWidth="1"/>
    <col min="10" max="10" width="7.125" style="0" customWidth="1"/>
    <col min="11" max="11" width="8.875" style="0" customWidth="1"/>
    <col min="12" max="12" width="7.00390625" style="0" customWidth="1"/>
    <col min="13" max="13" width="9.25390625" style="0" customWidth="1"/>
    <col min="14" max="14" width="8.125" style="0" customWidth="1"/>
    <col min="15" max="15" width="7.75390625" style="0" customWidth="1"/>
    <col min="16" max="16" width="10.125" style="0" customWidth="1"/>
    <col min="17" max="17" width="7.375" style="0" customWidth="1"/>
    <col min="18" max="18" width="0" style="0" hidden="1" customWidth="1"/>
    <col min="19" max="19" width="13.75390625" style="0" customWidth="1"/>
  </cols>
  <sheetData>
    <row r="1" s="162" customFormat="1" ht="15"/>
    <row r="2" spans="15:17" s="162" customFormat="1" ht="15.75">
      <c r="O2" s="80" t="s">
        <v>586</v>
      </c>
      <c r="P2" s="581"/>
      <c r="Q2" s="80"/>
    </row>
    <row r="3" spans="15:17" s="162" customFormat="1" ht="15.75">
      <c r="O3" s="80" t="s">
        <v>546</v>
      </c>
      <c r="P3" s="83"/>
      <c r="Q3" s="80"/>
    </row>
    <row r="4" spans="15:17" s="162" customFormat="1" ht="15.75">
      <c r="O4" s="80" t="s">
        <v>1225</v>
      </c>
      <c r="P4" s="83"/>
      <c r="Q4" s="80"/>
    </row>
    <row r="5" spans="15:17" s="162" customFormat="1" ht="15.75">
      <c r="O5" s="582" t="str">
        <f>доходы!B3</f>
        <v>от 5.03.2012 №5</v>
      </c>
      <c r="P5" s="583"/>
      <c r="Q5" s="582"/>
    </row>
    <row r="6" spans="15:17" s="162" customFormat="1" ht="15.75" hidden="1">
      <c r="O6" s="83"/>
      <c r="P6" s="135"/>
      <c r="Q6" s="136"/>
    </row>
    <row r="7" s="162" customFormat="1" ht="15"/>
    <row r="8" spans="1:19" s="162" customFormat="1" ht="15">
      <c r="A8" s="1143" t="s">
        <v>1258</v>
      </c>
      <c r="B8" s="1143"/>
      <c r="C8" s="1143"/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</row>
    <row r="9" spans="1:19" s="162" customFormat="1" ht="20.25">
      <c r="A9" s="164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</row>
    <row r="10" spans="1:19" s="162" customFormat="1" ht="20.25" hidden="1">
      <c r="A10" s="164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</row>
    <row r="11" s="162" customFormat="1" ht="15" customHeight="1"/>
    <row r="12" spans="1:19" s="162" customFormat="1" ht="15.75">
      <c r="A12" s="165"/>
      <c r="B12" s="166">
        <v>211</v>
      </c>
      <c r="C12" s="166">
        <v>213</v>
      </c>
      <c r="D12" s="167">
        <v>220</v>
      </c>
      <c r="E12" s="166">
        <v>221</v>
      </c>
      <c r="F12" s="166">
        <v>222</v>
      </c>
      <c r="G12" s="166">
        <v>225</v>
      </c>
      <c r="H12" s="166">
        <v>226</v>
      </c>
      <c r="I12" s="167">
        <v>240</v>
      </c>
      <c r="J12" s="166">
        <v>241</v>
      </c>
      <c r="K12" s="166">
        <v>242</v>
      </c>
      <c r="L12" s="167">
        <v>260</v>
      </c>
      <c r="M12" s="166">
        <v>262</v>
      </c>
      <c r="N12" s="167">
        <v>290</v>
      </c>
      <c r="O12" s="167">
        <v>300</v>
      </c>
      <c r="P12" s="166">
        <v>310</v>
      </c>
      <c r="Q12" s="166">
        <v>340</v>
      </c>
      <c r="R12" s="167"/>
      <c r="S12" s="167"/>
    </row>
    <row r="13" spans="1:19" s="173" customFormat="1" ht="87.75" customHeight="1">
      <c r="A13" s="168"/>
      <c r="B13" s="169" t="s">
        <v>74</v>
      </c>
      <c r="C13" s="169" t="s">
        <v>76</v>
      </c>
      <c r="D13" s="170" t="s">
        <v>131</v>
      </c>
      <c r="E13" s="169" t="s">
        <v>132</v>
      </c>
      <c r="F13" s="169" t="s">
        <v>149</v>
      </c>
      <c r="G13" s="169" t="s">
        <v>733</v>
      </c>
      <c r="H13" s="169" t="s">
        <v>732</v>
      </c>
      <c r="I13" s="170" t="s">
        <v>152</v>
      </c>
      <c r="J13" s="169" t="s">
        <v>153</v>
      </c>
      <c r="K13" s="169" t="s">
        <v>154</v>
      </c>
      <c r="L13" s="170" t="s">
        <v>155</v>
      </c>
      <c r="M13" s="169" t="s">
        <v>156</v>
      </c>
      <c r="N13" s="170" t="s">
        <v>157</v>
      </c>
      <c r="O13" s="170" t="s">
        <v>141</v>
      </c>
      <c r="P13" s="169" t="s">
        <v>158</v>
      </c>
      <c r="Q13" s="169" t="s">
        <v>159</v>
      </c>
      <c r="R13" s="171"/>
      <c r="S13" s="172" t="s">
        <v>634</v>
      </c>
    </row>
    <row r="14" spans="1:19" s="176" customFormat="1" ht="27.75" customHeight="1">
      <c r="A14" s="174" t="s">
        <v>658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</row>
    <row r="15" spans="1:19" ht="15.75" customHeight="1">
      <c r="A15" s="828" t="s">
        <v>1257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</row>
    <row r="16" spans="1:19" ht="60.75" customHeight="1">
      <c r="A16" s="858" t="s">
        <v>936</v>
      </c>
      <c r="B16" s="177"/>
      <c r="C16" s="177"/>
      <c r="D16" s="878">
        <v>0</v>
      </c>
      <c r="E16" s="878"/>
      <c r="F16" s="878"/>
      <c r="G16" s="878">
        <f>'свод бюджет'!K41</f>
        <v>0</v>
      </c>
      <c r="H16" s="878">
        <v>0</v>
      </c>
      <c r="I16" s="229">
        <f>J16</f>
        <v>541.1</v>
      </c>
      <c r="J16" s="229">
        <v>541.1</v>
      </c>
      <c r="K16" s="229"/>
      <c r="L16" s="229"/>
      <c r="M16" s="229"/>
      <c r="N16" s="229"/>
      <c r="O16" s="229"/>
      <c r="Q16" s="229"/>
      <c r="R16" s="229"/>
      <c r="S16" s="229">
        <f>I16</f>
        <v>541.1</v>
      </c>
    </row>
    <row r="17" spans="1:19" ht="15.75" customHeight="1">
      <c r="A17" s="828" t="s">
        <v>1255</v>
      </c>
      <c r="B17" s="177"/>
      <c r="C17" s="177"/>
      <c r="D17" s="878"/>
      <c r="E17" s="878"/>
      <c r="F17" s="878"/>
      <c r="G17" s="878"/>
      <c r="H17" s="878"/>
      <c r="I17" s="229">
        <f>J17</f>
        <v>0</v>
      </c>
      <c r="J17" s="229">
        <v>0</v>
      </c>
      <c r="K17" s="229"/>
      <c r="L17" s="229"/>
      <c r="M17" s="229"/>
      <c r="N17" s="229"/>
      <c r="O17" s="229"/>
      <c r="P17" s="229"/>
      <c r="Q17" s="229"/>
      <c r="R17" s="229"/>
      <c r="S17" s="229"/>
    </row>
    <row r="18" spans="1:19" ht="30" customHeight="1">
      <c r="A18" s="179" t="s">
        <v>195</v>
      </c>
      <c r="B18" s="177"/>
      <c r="C18" s="177"/>
      <c r="D18" s="878">
        <f>SUM(E18:H18)</f>
        <v>0</v>
      </c>
      <c r="E18" s="878"/>
      <c r="F18" s="878"/>
      <c r="G18" s="878">
        <f>'свод бюджет'!K43</f>
        <v>0</v>
      </c>
      <c r="H18" s="878"/>
      <c r="I18" s="229">
        <f>J18</f>
        <v>60.12</v>
      </c>
      <c r="J18" s="229">
        <v>60.12</v>
      </c>
      <c r="K18" s="229"/>
      <c r="L18" s="229"/>
      <c r="M18" s="229"/>
      <c r="N18" s="229"/>
      <c r="O18" s="229">
        <f>P18</f>
        <v>0</v>
      </c>
      <c r="P18" s="229"/>
      <c r="Q18" s="229"/>
      <c r="R18" s="229"/>
      <c r="S18" s="229">
        <f>I18</f>
        <v>60.12</v>
      </c>
    </row>
    <row r="19" spans="1:19" ht="18.75" customHeight="1">
      <c r="A19" s="822" t="s">
        <v>1256</v>
      </c>
      <c r="B19" s="177"/>
      <c r="C19" s="177"/>
      <c r="D19" s="878"/>
      <c r="E19" s="878"/>
      <c r="F19" s="878"/>
      <c r="G19" s="878"/>
      <c r="H19" s="878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</row>
    <row r="20" spans="1:19" ht="30" customHeight="1">
      <c r="A20" s="179" t="s">
        <v>553</v>
      </c>
      <c r="B20" s="177"/>
      <c r="C20" s="177"/>
      <c r="D20" s="878"/>
      <c r="E20" s="878"/>
      <c r="F20" s="878"/>
      <c r="G20" s="878"/>
      <c r="H20" s="878">
        <v>150</v>
      </c>
      <c r="I20" s="229"/>
      <c r="J20" s="229"/>
      <c r="K20" s="229"/>
      <c r="L20" s="229"/>
      <c r="M20" s="229"/>
      <c r="N20" s="229"/>
      <c r="O20" s="892">
        <f>P20</f>
        <v>0</v>
      </c>
      <c r="P20" s="892">
        <v>0</v>
      </c>
      <c r="Q20" s="229"/>
      <c r="R20" s="229"/>
      <c r="S20" s="892">
        <v>150</v>
      </c>
    </row>
    <row r="21" spans="1:19" ht="15" hidden="1">
      <c r="A21" s="336" t="s">
        <v>469</v>
      </c>
      <c r="B21" s="337"/>
      <c r="C21" s="337"/>
      <c r="D21" s="879"/>
      <c r="E21" s="879">
        <f aca="true" t="shared" si="0" ref="E21:R21">SUM(E16:E18)</f>
        <v>0</v>
      </c>
      <c r="F21" s="879">
        <f t="shared" si="0"/>
        <v>0</v>
      </c>
      <c r="G21" s="879">
        <f t="shared" si="0"/>
        <v>0</v>
      </c>
      <c r="H21" s="879"/>
      <c r="I21" s="338">
        <f t="shared" si="0"/>
        <v>601.22</v>
      </c>
      <c r="J21" s="338">
        <f t="shared" si="0"/>
        <v>601.22</v>
      </c>
      <c r="K21" s="338">
        <f t="shared" si="0"/>
        <v>0</v>
      </c>
      <c r="L21" s="338">
        <f t="shared" si="0"/>
        <v>0</v>
      </c>
      <c r="M21" s="338">
        <f t="shared" si="0"/>
        <v>0</v>
      </c>
      <c r="N21" s="338">
        <f t="shared" si="0"/>
        <v>0</v>
      </c>
      <c r="O21" s="893"/>
      <c r="P21" s="893"/>
      <c r="Q21" s="338">
        <f t="shared" si="0"/>
        <v>0</v>
      </c>
      <c r="R21" s="338">
        <f t="shared" si="0"/>
        <v>0</v>
      </c>
      <c r="S21" s="338"/>
    </row>
    <row r="22" spans="1:19" ht="15.75" customHeight="1" hidden="1">
      <c r="A22" s="621" t="s">
        <v>598</v>
      </c>
      <c r="B22" s="177"/>
      <c r="C22" s="177"/>
      <c r="D22" s="878"/>
      <c r="E22" s="878"/>
      <c r="F22" s="878"/>
      <c r="G22" s="878"/>
      <c r="H22" s="878"/>
      <c r="I22" s="229"/>
      <c r="J22" s="229"/>
      <c r="K22" s="229"/>
      <c r="L22" s="229"/>
      <c r="M22" s="229"/>
      <c r="N22" s="229"/>
      <c r="O22" s="892"/>
      <c r="P22" s="892"/>
      <c r="Q22" s="229"/>
      <c r="R22" s="229"/>
      <c r="S22" s="229"/>
    </row>
    <row r="23" spans="1:19" ht="45.75" customHeight="1" hidden="1">
      <c r="A23" s="622" t="s">
        <v>0</v>
      </c>
      <c r="B23" s="177"/>
      <c r="C23" s="177"/>
      <c r="D23" s="878"/>
      <c r="E23" s="878"/>
      <c r="F23" s="878"/>
      <c r="G23" s="878"/>
      <c r="H23" s="878"/>
      <c r="I23" s="229">
        <f>J23</f>
        <v>0</v>
      </c>
      <c r="J23" s="229">
        <f>'свод бюджет'!O48</f>
        <v>0</v>
      </c>
      <c r="K23" s="229"/>
      <c r="L23" s="229"/>
      <c r="M23" s="229"/>
      <c r="N23" s="229"/>
      <c r="O23" s="892"/>
      <c r="P23" s="892"/>
      <c r="Q23" s="229"/>
      <c r="R23" s="229"/>
      <c r="S23" s="229">
        <f>I23</f>
        <v>0</v>
      </c>
    </row>
    <row r="24" spans="1:19" ht="15.75" customHeight="1" hidden="1">
      <c r="A24" s="178" t="s">
        <v>1</v>
      </c>
      <c r="B24" s="177"/>
      <c r="C24" s="177"/>
      <c r="D24" s="878"/>
      <c r="E24" s="878"/>
      <c r="F24" s="878"/>
      <c r="G24" s="878"/>
      <c r="H24" s="878"/>
      <c r="I24" s="229"/>
      <c r="J24" s="229"/>
      <c r="K24" s="229"/>
      <c r="L24" s="229"/>
      <c r="M24" s="229"/>
      <c r="N24" s="229"/>
      <c r="O24" s="892"/>
      <c r="P24" s="892"/>
      <c r="Q24" s="229"/>
      <c r="R24" s="229"/>
      <c r="S24" s="229"/>
    </row>
    <row r="25" spans="1:19" ht="48" customHeight="1" hidden="1">
      <c r="A25" s="179" t="s">
        <v>69</v>
      </c>
      <c r="B25" s="177"/>
      <c r="C25" s="177"/>
      <c r="D25" s="878">
        <f>SUM(E25:H25)</f>
        <v>0</v>
      </c>
      <c r="E25" s="878"/>
      <c r="F25" s="878"/>
      <c r="G25" s="878"/>
      <c r="H25" s="878">
        <f>'свод бюджет'!L51</f>
        <v>0</v>
      </c>
      <c r="I25" s="229"/>
      <c r="J25" s="229"/>
      <c r="K25" s="229"/>
      <c r="L25" s="229"/>
      <c r="M25" s="229"/>
      <c r="N25" s="229"/>
      <c r="O25" s="892">
        <f>P25</f>
        <v>0</v>
      </c>
      <c r="P25" s="892"/>
      <c r="Q25" s="229"/>
      <c r="R25" s="229"/>
      <c r="S25" s="229">
        <f>D25</f>
        <v>0</v>
      </c>
    </row>
    <row r="26" spans="1:19" s="777" customFormat="1" ht="15" hidden="1">
      <c r="A26" s="336" t="s">
        <v>470</v>
      </c>
      <c r="B26" s="337"/>
      <c r="C26" s="337"/>
      <c r="D26" s="879">
        <f>SUM(D25)</f>
        <v>0</v>
      </c>
      <c r="E26" s="879">
        <f aca="true" t="shared" si="1" ref="E26:R26">SUM(E25)</f>
        <v>0</v>
      </c>
      <c r="F26" s="879">
        <f t="shared" si="1"/>
        <v>0</v>
      </c>
      <c r="G26" s="879">
        <f t="shared" si="1"/>
        <v>0</v>
      </c>
      <c r="H26" s="879">
        <f t="shared" si="1"/>
        <v>0</v>
      </c>
      <c r="I26" s="338">
        <f>I23</f>
        <v>0</v>
      </c>
      <c r="J26" s="338">
        <f>J23</f>
        <v>0</v>
      </c>
      <c r="K26" s="338">
        <f t="shared" si="1"/>
        <v>0</v>
      </c>
      <c r="L26" s="338">
        <f t="shared" si="1"/>
        <v>0</v>
      </c>
      <c r="M26" s="338">
        <f t="shared" si="1"/>
        <v>0</v>
      </c>
      <c r="N26" s="338">
        <f t="shared" si="1"/>
        <v>0</v>
      </c>
      <c r="O26" s="893">
        <f t="shared" si="1"/>
        <v>0</v>
      </c>
      <c r="P26" s="893">
        <f t="shared" si="1"/>
        <v>0</v>
      </c>
      <c r="Q26" s="338">
        <f t="shared" si="1"/>
        <v>0</v>
      </c>
      <c r="R26" s="338">
        <f t="shared" si="1"/>
        <v>0</v>
      </c>
      <c r="S26" s="338">
        <f>SUM(S25,S23)</f>
        <v>0</v>
      </c>
    </row>
    <row r="27" spans="1:19" s="181" customFormat="1" ht="24" customHeight="1">
      <c r="A27" s="180" t="s">
        <v>196</v>
      </c>
      <c r="B27" s="230"/>
      <c r="C27" s="230">
        <f>SUM(C16)</f>
        <v>0</v>
      </c>
      <c r="D27" s="880">
        <f>D26+D16+D18</f>
        <v>0</v>
      </c>
      <c r="E27" s="880">
        <f aca="true" t="shared" si="2" ref="E27:R27">E26+E16+E18</f>
        <v>0</v>
      </c>
      <c r="F27" s="880">
        <f t="shared" si="2"/>
        <v>0</v>
      </c>
      <c r="G27" s="880">
        <f t="shared" si="2"/>
        <v>0</v>
      </c>
      <c r="H27" s="880">
        <f>H26+H16+H18+H20</f>
        <v>150</v>
      </c>
      <c r="I27" s="231">
        <f t="shared" si="2"/>
        <v>601.22</v>
      </c>
      <c r="J27" s="231">
        <f t="shared" si="2"/>
        <v>601.22</v>
      </c>
      <c r="K27" s="231">
        <f t="shared" si="2"/>
        <v>0</v>
      </c>
      <c r="L27" s="231">
        <f t="shared" si="2"/>
        <v>0</v>
      </c>
      <c r="M27" s="231">
        <f t="shared" si="2"/>
        <v>0</v>
      </c>
      <c r="N27" s="231">
        <f t="shared" si="2"/>
        <v>0</v>
      </c>
      <c r="O27" s="894">
        <f>O16+O20</f>
        <v>0</v>
      </c>
      <c r="P27" s="894">
        <f>P26+P20+P18</f>
        <v>0</v>
      </c>
      <c r="Q27" s="231">
        <f t="shared" si="2"/>
        <v>0</v>
      </c>
      <c r="R27" s="231">
        <f t="shared" si="2"/>
        <v>0</v>
      </c>
      <c r="S27" s="894">
        <f>S26+S16+S18+S20</f>
        <v>751.22</v>
      </c>
    </row>
    <row r="28" ht="12.75">
      <c r="A28" s="2"/>
    </row>
    <row r="29" ht="12.75">
      <c r="A29" s="2"/>
    </row>
    <row r="30" spans="1:3" ht="12.75">
      <c r="A30" s="2"/>
      <c r="C30" t="s">
        <v>687</v>
      </c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</sheetData>
  <sheetProtection/>
  <mergeCells count="1">
    <mergeCell ref="A8:S8"/>
  </mergeCells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88"/>
  <sheetViews>
    <sheetView showZeros="0" view="pageBreakPreview" zoomScale="50" zoomScaleSheetLayoutView="50" zoomScalePageLayoutView="0" workbookViewId="0" topLeftCell="A1">
      <pane ySplit="9" topLeftCell="A10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0.75390625" style="437" customWidth="1"/>
    <col min="2" max="2" width="9.125" style="409" customWidth="1"/>
    <col min="3" max="3" width="12.00390625" style="409" customWidth="1"/>
    <col min="4" max="4" width="9.125" style="409" customWidth="1"/>
    <col min="5" max="5" width="14.875" style="409" bestFit="1" customWidth="1"/>
    <col min="6" max="8" width="9.125" style="409" customWidth="1"/>
    <col min="9" max="9" width="13.00390625" style="409" customWidth="1"/>
    <col min="10" max="10" width="13.25390625" style="409" customWidth="1"/>
    <col min="11" max="11" width="16.625" style="409" bestFit="1" customWidth="1"/>
    <col min="12" max="12" width="15.625" style="409" customWidth="1"/>
    <col min="13" max="13" width="13.00390625" style="409" customWidth="1"/>
    <col min="14" max="14" width="9.125" style="409" customWidth="1"/>
    <col min="15" max="15" width="14.875" style="409" hidden="1" customWidth="1"/>
    <col min="16" max="16" width="12.125" style="409" customWidth="1"/>
    <col min="17" max="17" width="14.75390625" style="409" customWidth="1"/>
    <col min="18" max="18" width="13.125" style="409" customWidth="1"/>
    <col min="19" max="19" width="16.75390625" style="409" customWidth="1"/>
    <col min="20" max="20" width="0" style="409" hidden="1" customWidth="1"/>
    <col min="21" max="21" width="15.625" style="409" hidden="1" customWidth="1"/>
    <col min="22" max="22" width="20.75390625" style="409" customWidth="1"/>
    <col min="23" max="23" width="11.625" style="409" hidden="1" customWidth="1"/>
    <col min="24" max="25" width="0" style="409" hidden="1" customWidth="1"/>
    <col min="26" max="16384" width="9.125" style="409" customWidth="1"/>
  </cols>
  <sheetData>
    <row r="1" spans="1:18" s="403" customFormat="1" ht="18">
      <c r="A1" s="402"/>
      <c r="R1" s="404"/>
    </row>
    <row r="2" spans="1:22" s="403" customFormat="1" ht="18.75">
      <c r="A2" s="402"/>
      <c r="R2" s="96" t="s">
        <v>509</v>
      </c>
      <c r="S2" s="405"/>
      <c r="T2" s="96"/>
      <c r="U2" s="584"/>
      <c r="V2" s="162"/>
    </row>
    <row r="3" spans="1:22" s="403" customFormat="1" ht="18.75">
      <c r="A3" s="402"/>
      <c r="R3" s="96" t="s">
        <v>546</v>
      </c>
      <c r="S3" s="98"/>
      <c r="T3" s="96"/>
      <c r="U3" s="584"/>
      <c r="V3" s="162"/>
    </row>
    <row r="4" spans="1:22" s="403" customFormat="1" ht="18.75">
      <c r="A4" s="402"/>
      <c r="R4" s="96" t="s">
        <v>1225</v>
      </c>
      <c r="S4" s="98"/>
      <c r="T4" s="96"/>
      <c r="U4" s="584"/>
      <c r="V4" s="162"/>
    </row>
    <row r="5" spans="1:22" s="403" customFormat="1" ht="18.75">
      <c r="A5" s="402"/>
      <c r="R5" s="585" t="str">
        <f>'0400'!O5</f>
        <v>от 5.03.2012 №5</v>
      </c>
      <c r="S5" s="586"/>
      <c r="T5" s="585"/>
      <c r="U5" s="584"/>
      <c r="V5" s="162"/>
    </row>
    <row r="6" spans="1:22" s="403" customFormat="1" ht="18">
      <c r="A6" s="1144" t="s">
        <v>1271</v>
      </c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1144"/>
      <c r="Q6" s="1144"/>
      <c r="R6" s="1144"/>
      <c r="S6" s="1144"/>
      <c r="T6" s="1144"/>
      <c r="U6" s="1144"/>
      <c r="V6" s="1144"/>
    </row>
    <row r="7" s="403" customFormat="1" ht="18">
      <c r="A7" s="402"/>
    </row>
    <row r="8" spans="1:22" ht="18">
      <c r="A8" s="406"/>
      <c r="B8" s="407">
        <v>210</v>
      </c>
      <c r="C8" s="408">
        <v>211</v>
      </c>
      <c r="D8" s="408">
        <v>213</v>
      </c>
      <c r="E8" s="407">
        <v>220</v>
      </c>
      <c r="F8" s="408">
        <v>221</v>
      </c>
      <c r="G8" s="408">
        <v>222</v>
      </c>
      <c r="H8" s="408">
        <v>223</v>
      </c>
      <c r="I8" s="408">
        <v>225</v>
      </c>
      <c r="J8" s="408">
        <v>226</v>
      </c>
      <c r="K8" s="407">
        <v>240</v>
      </c>
      <c r="L8" s="408">
        <v>241</v>
      </c>
      <c r="M8" s="408">
        <v>242</v>
      </c>
      <c r="N8" s="407">
        <v>260</v>
      </c>
      <c r="O8" s="408">
        <v>262</v>
      </c>
      <c r="P8" s="407">
        <v>290</v>
      </c>
      <c r="Q8" s="407">
        <v>300</v>
      </c>
      <c r="R8" s="408">
        <v>310</v>
      </c>
      <c r="S8" s="408">
        <v>340</v>
      </c>
      <c r="T8" s="407">
        <v>500</v>
      </c>
      <c r="U8" s="407">
        <v>600</v>
      </c>
      <c r="V8" s="407"/>
    </row>
    <row r="9" spans="1:24" s="413" customFormat="1" ht="108" customHeight="1">
      <c r="A9" s="410"/>
      <c r="B9" s="411" t="s">
        <v>128</v>
      </c>
      <c r="C9" s="412" t="s">
        <v>74</v>
      </c>
      <c r="D9" s="412" t="s">
        <v>197</v>
      </c>
      <c r="E9" s="411" t="s">
        <v>198</v>
      </c>
      <c r="F9" s="412" t="s">
        <v>132</v>
      </c>
      <c r="G9" s="412" t="s">
        <v>149</v>
      </c>
      <c r="H9" s="412" t="s">
        <v>725</v>
      </c>
      <c r="I9" s="412" t="s">
        <v>151</v>
      </c>
      <c r="J9" s="412" t="s">
        <v>137</v>
      </c>
      <c r="K9" s="411" t="s">
        <v>199</v>
      </c>
      <c r="L9" s="412" t="s">
        <v>153</v>
      </c>
      <c r="M9" s="412" t="s">
        <v>154</v>
      </c>
      <c r="N9" s="411" t="s">
        <v>200</v>
      </c>
      <c r="O9" s="412" t="s">
        <v>156</v>
      </c>
      <c r="P9" s="411" t="s">
        <v>157</v>
      </c>
      <c r="Q9" s="411" t="s">
        <v>141</v>
      </c>
      <c r="R9" s="412" t="s">
        <v>158</v>
      </c>
      <c r="S9" s="412" t="s">
        <v>201</v>
      </c>
      <c r="T9" s="411" t="s">
        <v>202</v>
      </c>
      <c r="U9" s="411" t="s">
        <v>203</v>
      </c>
      <c r="V9" s="411" t="s">
        <v>634</v>
      </c>
      <c r="X9" s="303"/>
    </row>
    <row r="10" spans="1:22" ht="33.75" customHeight="1">
      <c r="A10" s="414" t="s">
        <v>661</v>
      </c>
      <c r="B10" s="415"/>
      <c r="C10" s="537"/>
      <c r="D10" s="537"/>
      <c r="E10" s="415"/>
      <c r="F10" s="537"/>
      <c r="G10" s="537"/>
      <c r="H10" s="537"/>
      <c r="I10" s="537"/>
      <c r="J10" s="537"/>
      <c r="K10" s="415"/>
      <c r="L10" s="537"/>
      <c r="M10" s="537"/>
      <c r="N10" s="415"/>
      <c r="O10" s="537"/>
      <c r="P10" s="415"/>
      <c r="Q10" s="415"/>
      <c r="R10" s="537"/>
      <c r="S10" s="537"/>
      <c r="T10" s="415"/>
      <c r="U10" s="415"/>
      <c r="V10" s="416"/>
    </row>
    <row r="11" spans="1:22" ht="18" hidden="1">
      <c r="A11" s="417" t="s">
        <v>661</v>
      </c>
      <c r="B11" s="418"/>
      <c r="C11" s="535"/>
      <c r="D11" s="535"/>
      <c r="E11" s="418"/>
      <c r="F11" s="535"/>
      <c r="G11" s="535"/>
      <c r="H11" s="535"/>
      <c r="I11" s="535"/>
      <c r="J11" s="535"/>
      <c r="K11" s="418"/>
      <c r="L11" s="535"/>
      <c r="M11" s="535"/>
      <c r="N11" s="418"/>
      <c r="O11" s="535"/>
      <c r="P11" s="418"/>
      <c r="Q11" s="418"/>
      <c r="R11" s="535"/>
      <c r="S11" s="535"/>
      <c r="T11" s="418"/>
      <c r="U11" s="418"/>
      <c r="V11" s="419"/>
    </row>
    <row r="12" spans="1:35" ht="18" hidden="1">
      <c r="A12" s="417" t="s">
        <v>204</v>
      </c>
      <c r="B12" s="420"/>
      <c r="C12" s="421"/>
      <c r="D12" s="421"/>
      <c r="E12" s="420"/>
      <c r="F12" s="420"/>
      <c r="G12" s="421"/>
      <c r="H12" s="421"/>
      <c r="I12" s="421"/>
      <c r="J12" s="421"/>
      <c r="K12" s="420"/>
      <c r="L12" s="421"/>
      <c r="M12" s="421"/>
      <c r="N12" s="420">
        <f>SUM(O12:P12)</f>
        <v>0</v>
      </c>
      <c r="O12" s="421"/>
      <c r="P12" s="420"/>
      <c r="Q12" s="420"/>
      <c r="R12" s="421"/>
      <c r="S12" s="420"/>
      <c r="T12" s="420"/>
      <c r="U12" s="422"/>
      <c r="V12" s="421"/>
      <c r="W12" s="423">
        <f>B12+F12+N12+S12+T12</f>
        <v>0</v>
      </c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</row>
    <row r="13" spans="1:35" ht="25.5" customHeight="1" hidden="1">
      <c r="A13" s="424" t="s">
        <v>205</v>
      </c>
      <c r="B13" s="420"/>
      <c r="C13" s="421"/>
      <c r="D13" s="421"/>
      <c r="E13" s="420">
        <f>I13</f>
        <v>0</v>
      </c>
      <c r="F13" s="420"/>
      <c r="G13" s="421"/>
      <c r="H13" s="421"/>
      <c r="I13" s="421"/>
      <c r="J13" s="421"/>
      <c r="K13" s="420">
        <f>SUM(L13:M13)</f>
        <v>0</v>
      </c>
      <c r="L13" s="421"/>
      <c r="M13" s="421"/>
      <c r="N13" s="420">
        <f>SUM(O13:P13)</f>
        <v>0</v>
      </c>
      <c r="O13" s="421"/>
      <c r="P13" s="420"/>
      <c r="Q13" s="420"/>
      <c r="R13" s="421"/>
      <c r="S13" s="420"/>
      <c r="T13" s="420"/>
      <c r="U13" s="422"/>
      <c r="V13" s="421">
        <f>K13</f>
        <v>0</v>
      </c>
      <c r="W13" s="423">
        <f>B13+F13+N13+S13+T13</f>
        <v>0</v>
      </c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</row>
    <row r="14" spans="1:23" s="426" customFormat="1" ht="18" hidden="1">
      <c r="A14" s="417" t="s">
        <v>206</v>
      </c>
      <c r="B14" s="420"/>
      <c r="C14" s="420"/>
      <c r="D14" s="420"/>
      <c r="E14" s="420">
        <f>I14</f>
        <v>0</v>
      </c>
      <c r="F14" s="420"/>
      <c r="G14" s="420"/>
      <c r="H14" s="420"/>
      <c r="I14" s="420">
        <f>I13</f>
        <v>0</v>
      </c>
      <c r="J14" s="420"/>
      <c r="K14" s="420">
        <f>SUM(K13)</f>
        <v>0</v>
      </c>
      <c r="L14" s="420">
        <f aca="true" t="shared" si="0" ref="L14:V14">SUM(L13)</f>
        <v>0</v>
      </c>
      <c r="M14" s="420">
        <f t="shared" si="0"/>
        <v>0</v>
      </c>
      <c r="N14" s="420">
        <f t="shared" si="0"/>
        <v>0</v>
      </c>
      <c r="O14" s="420">
        <f t="shared" si="0"/>
        <v>0</v>
      </c>
      <c r="P14" s="420">
        <f t="shared" si="0"/>
        <v>0</v>
      </c>
      <c r="Q14" s="420">
        <f t="shared" si="0"/>
        <v>0</v>
      </c>
      <c r="R14" s="420">
        <f t="shared" si="0"/>
        <v>0</v>
      </c>
      <c r="S14" s="420">
        <f t="shared" si="0"/>
        <v>0</v>
      </c>
      <c r="T14" s="420">
        <f t="shared" si="0"/>
        <v>0</v>
      </c>
      <c r="U14" s="425">
        <f t="shared" si="0"/>
        <v>0</v>
      </c>
      <c r="V14" s="420">
        <f t="shared" si="0"/>
        <v>0</v>
      </c>
      <c r="W14" s="423">
        <f>SUM(W13)</f>
        <v>0</v>
      </c>
    </row>
    <row r="15" spans="1:23" s="426" customFormat="1" ht="18" hidden="1">
      <c r="A15" s="539" t="s">
        <v>599</v>
      </c>
      <c r="B15" s="420"/>
      <c r="C15" s="420"/>
      <c r="D15" s="420"/>
      <c r="E15" s="632"/>
      <c r="F15" s="632"/>
      <c r="G15" s="632"/>
      <c r="H15" s="632"/>
      <c r="I15" s="632"/>
      <c r="J15" s="632"/>
      <c r="K15" s="420"/>
      <c r="L15" s="420"/>
      <c r="M15" s="420"/>
      <c r="N15" s="420"/>
      <c r="O15" s="420"/>
      <c r="P15" s="420"/>
      <c r="Q15" s="420">
        <f>Q16</f>
        <v>0</v>
      </c>
      <c r="R15" s="420">
        <f>R16</f>
        <v>0</v>
      </c>
      <c r="S15" s="420"/>
      <c r="T15" s="420"/>
      <c r="U15" s="425"/>
      <c r="V15" s="688">
        <f>Q15</f>
        <v>0</v>
      </c>
      <c r="W15" s="423"/>
    </row>
    <row r="16" spans="1:23" s="426" customFormat="1" ht="56.25" customHeight="1" hidden="1">
      <c r="A16" s="424" t="s">
        <v>3</v>
      </c>
      <c r="B16" s="420"/>
      <c r="C16" s="420"/>
      <c r="D16" s="420"/>
      <c r="E16" s="632"/>
      <c r="F16" s="632"/>
      <c r="G16" s="632"/>
      <c r="H16" s="632"/>
      <c r="I16" s="632"/>
      <c r="J16" s="632"/>
      <c r="K16" s="420"/>
      <c r="L16" s="420"/>
      <c r="M16" s="420"/>
      <c r="N16" s="420"/>
      <c r="O16" s="420"/>
      <c r="P16" s="420"/>
      <c r="Q16" s="421">
        <f>'свод бюджет'!V57</f>
        <v>0</v>
      </c>
      <c r="R16" s="421">
        <f>'свод бюджет'!W57</f>
        <v>0</v>
      </c>
      <c r="S16" s="421"/>
      <c r="T16" s="421"/>
      <c r="U16" s="422"/>
      <c r="V16" s="689">
        <f>Q16</f>
        <v>0</v>
      </c>
      <c r="W16" s="423"/>
    </row>
    <row r="17" spans="1:23" s="426" customFormat="1" ht="18" hidden="1">
      <c r="A17" s="539" t="s">
        <v>554</v>
      </c>
      <c r="B17" s="420"/>
      <c r="C17" s="420"/>
      <c r="D17" s="420"/>
      <c r="E17" s="632"/>
      <c r="F17" s="632"/>
      <c r="G17" s="632"/>
      <c r="H17" s="632"/>
      <c r="I17" s="632"/>
      <c r="J17" s="632"/>
      <c r="K17" s="420">
        <f>K18</f>
        <v>0</v>
      </c>
      <c r="L17" s="420"/>
      <c r="M17" s="690">
        <f>M18</f>
        <v>0</v>
      </c>
      <c r="N17" s="420"/>
      <c r="O17" s="420"/>
      <c r="P17" s="420"/>
      <c r="Q17" s="420"/>
      <c r="R17" s="420"/>
      <c r="S17" s="420"/>
      <c r="T17" s="420"/>
      <c r="U17" s="425"/>
      <c r="V17" s="688">
        <f>V18</f>
        <v>0</v>
      </c>
      <c r="W17" s="423"/>
    </row>
    <row r="18" spans="1:23" s="426" customFormat="1" ht="105" hidden="1">
      <c r="A18" s="569" t="s">
        <v>2</v>
      </c>
      <c r="B18" s="420"/>
      <c r="C18" s="420"/>
      <c r="D18" s="420"/>
      <c r="E18" s="632"/>
      <c r="F18" s="632"/>
      <c r="G18" s="632"/>
      <c r="H18" s="632"/>
      <c r="I18" s="632"/>
      <c r="J18" s="632"/>
      <c r="K18" s="421">
        <f>M18</f>
        <v>0</v>
      </c>
      <c r="L18" s="421"/>
      <c r="M18" s="535">
        <f>'свод бюджет'!P59</f>
        <v>0</v>
      </c>
      <c r="N18" s="420"/>
      <c r="O18" s="420"/>
      <c r="P18" s="420"/>
      <c r="Q18" s="420"/>
      <c r="R18" s="420"/>
      <c r="S18" s="420"/>
      <c r="T18" s="420"/>
      <c r="U18" s="425"/>
      <c r="V18" s="689">
        <f>K18</f>
        <v>0</v>
      </c>
      <c r="W18" s="423"/>
    </row>
    <row r="19" spans="1:23" s="426" customFormat="1" ht="18" hidden="1">
      <c r="A19" s="539" t="s">
        <v>600</v>
      </c>
      <c r="B19" s="420"/>
      <c r="C19" s="420"/>
      <c r="D19" s="420"/>
      <c r="E19" s="632"/>
      <c r="F19" s="632"/>
      <c r="G19" s="632"/>
      <c r="H19" s="632"/>
      <c r="I19" s="632"/>
      <c r="J19" s="632"/>
      <c r="K19" s="420">
        <f>K20</f>
        <v>0</v>
      </c>
      <c r="L19" s="420"/>
      <c r="M19" s="690">
        <f>M20</f>
        <v>0</v>
      </c>
      <c r="N19" s="420"/>
      <c r="O19" s="420"/>
      <c r="P19" s="420"/>
      <c r="Q19" s="420"/>
      <c r="R19" s="420"/>
      <c r="S19" s="420"/>
      <c r="T19" s="420"/>
      <c r="U19" s="425"/>
      <c r="V19" s="688">
        <f>K19</f>
        <v>0</v>
      </c>
      <c r="W19" s="423"/>
    </row>
    <row r="20" spans="1:23" s="426" customFormat="1" ht="72" hidden="1">
      <c r="A20" s="424" t="s">
        <v>601</v>
      </c>
      <c r="C20" s="420"/>
      <c r="D20" s="420"/>
      <c r="E20" s="632"/>
      <c r="F20" s="632"/>
      <c r="G20" s="632"/>
      <c r="H20" s="632"/>
      <c r="I20" s="632"/>
      <c r="J20" s="632"/>
      <c r="K20" s="421">
        <f>'свод бюджет'!N64</f>
        <v>0</v>
      </c>
      <c r="L20" s="420"/>
      <c r="M20" s="535">
        <f>'свод бюджет'!P64</f>
        <v>0</v>
      </c>
      <c r="N20" s="420"/>
      <c r="O20" s="420"/>
      <c r="P20" s="420"/>
      <c r="Q20" s="420"/>
      <c r="R20" s="420"/>
      <c r="S20" s="420"/>
      <c r="T20" s="420"/>
      <c r="U20" s="425"/>
      <c r="V20" s="689">
        <f>K20</f>
        <v>0</v>
      </c>
      <c r="W20" s="423"/>
    </row>
    <row r="21" spans="1:23" s="426" customFormat="1" ht="32.25" customHeight="1" hidden="1">
      <c r="A21" s="303" t="s">
        <v>757</v>
      </c>
      <c r="B21" s="420"/>
      <c r="C21" s="420"/>
      <c r="D21" s="420"/>
      <c r="E21" s="632"/>
      <c r="F21" s="632"/>
      <c r="G21" s="632"/>
      <c r="H21" s="632"/>
      <c r="I21" s="632"/>
      <c r="J21" s="632"/>
      <c r="K21" s="421"/>
      <c r="L21" s="420"/>
      <c r="M21" s="535"/>
      <c r="N21" s="420"/>
      <c r="O21" s="420"/>
      <c r="P21" s="420"/>
      <c r="Q21" s="420">
        <f>R21</f>
        <v>0</v>
      </c>
      <c r="R21" s="421">
        <f>'свод бюджет'!W66</f>
        <v>0</v>
      </c>
      <c r="S21" s="420"/>
      <c r="T21" s="420"/>
      <c r="U21" s="425"/>
      <c r="V21" s="688">
        <f>Q21</f>
        <v>0</v>
      </c>
      <c r="W21" s="423"/>
    </row>
    <row r="22" spans="1:23" s="426" customFormat="1" ht="30" hidden="1">
      <c r="A22" s="569" t="s">
        <v>759</v>
      </c>
      <c r="B22" s="420"/>
      <c r="C22" s="420"/>
      <c r="D22" s="420"/>
      <c r="E22" s="632"/>
      <c r="F22" s="632"/>
      <c r="G22" s="632"/>
      <c r="H22" s="632"/>
      <c r="I22" s="632"/>
      <c r="J22" s="632"/>
      <c r="K22" s="421"/>
      <c r="L22" s="420"/>
      <c r="M22" s="535"/>
      <c r="N22" s="420"/>
      <c r="O22" s="420"/>
      <c r="P22" s="420"/>
      <c r="Q22" s="420">
        <f>Q21</f>
        <v>0</v>
      </c>
      <c r="R22" s="421">
        <f>R21</f>
        <v>0</v>
      </c>
      <c r="S22" s="420"/>
      <c r="T22" s="420"/>
      <c r="U22" s="425"/>
      <c r="V22" s="689">
        <f>Q22</f>
        <v>0</v>
      </c>
      <c r="W22" s="423"/>
    </row>
    <row r="23" spans="1:22" s="781" customFormat="1" ht="21" customHeight="1" hidden="1">
      <c r="A23" s="778" t="s">
        <v>209</v>
      </c>
      <c r="B23" s="779"/>
      <c r="C23" s="779"/>
      <c r="D23" s="779"/>
      <c r="E23" s="780"/>
      <c r="F23" s="780"/>
      <c r="G23" s="780"/>
      <c r="H23" s="780"/>
      <c r="I23" s="780"/>
      <c r="J23" s="780"/>
      <c r="K23" s="779">
        <f>K19+K17</f>
        <v>0</v>
      </c>
      <c r="L23" s="779"/>
      <c r="M23" s="779">
        <f>M19+M17</f>
        <v>0</v>
      </c>
      <c r="N23" s="779"/>
      <c r="O23" s="779"/>
      <c r="P23" s="779"/>
      <c r="Q23" s="779">
        <f>Q16+Q21</f>
        <v>0</v>
      </c>
      <c r="R23" s="794">
        <f>R16+R21</f>
        <v>0</v>
      </c>
      <c r="S23" s="779"/>
      <c r="T23" s="779" t="e">
        <f>T19+#REF!</f>
        <v>#REF!</v>
      </c>
      <c r="U23" s="779"/>
      <c r="V23" s="779">
        <f>V19+V17+V15+V22</f>
        <v>0</v>
      </c>
    </row>
    <row r="24" spans="1:22" s="788" customFormat="1" ht="30" customHeight="1">
      <c r="A24" s="782" t="s">
        <v>663</v>
      </c>
      <c r="B24" s="783"/>
      <c r="C24" s="784"/>
      <c r="D24" s="784"/>
      <c r="E24" s="785"/>
      <c r="F24" s="786"/>
      <c r="G24" s="786"/>
      <c r="H24" s="786"/>
      <c r="I24" s="786"/>
      <c r="J24" s="786"/>
      <c r="K24" s="785"/>
      <c r="L24" s="786"/>
      <c r="M24" s="786"/>
      <c r="N24" s="785"/>
      <c r="O24" s="786"/>
      <c r="P24" s="785"/>
      <c r="Q24" s="785"/>
      <c r="R24" s="786"/>
      <c r="S24" s="786"/>
      <c r="T24" s="785"/>
      <c r="U24" s="785"/>
      <c r="V24" s="787"/>
    </row>
    <row r="25" spans="1:22" ht="18" hidden="1">
      <c r="A25" s="417" t="s">
        <v>454</v>
      </c>
      <c r="B25" s="418"/>
      <c r="C25" s="535"/>
      <c r="D25" s="535"/>
      <c r="E25" s="635"/>
      <c r="F25" s="634"/>
      <c r="G25" s="634"/>
      <c r="H25" s="634"/>
      <c r="I25" s="634"/>
      <c r="J25" s="634"/>
      <c r="K25" s="635"/>
      <c r="L25" s="634"/>
      <c r="M25" s="634"/>
      <c r="N25" s="635"/>
      <c r="O25" s="634"/>
      <c r="P25" s="635"/>
      <c r="Q25" s="635"/>
      <c r="R25" s="634"/>
      <c r="S25" s="634"/>
      <c r="T25" s="635"/>
      <c r="U25" s="635"/>
      <c r="V25" s="636"/>
    </row>
    <row r="26" spans="1:22" ht="36" hidden="1">
      <c r="A26" s="430" t="s">
        <v>210</v>
      </c>
      <c r="B26" s="418"/>
      <c r="C26" s="535"/>
      <c r="D26" s="535"/>
      <c r="E26" s="635"/>
      <c r="F26" s="634"/>
      <c r="G26" s="634"/>
      <c r="H26" s="634"/>
      <c r="I26" s="634"/>
      <c r="J26" s="634"/>
      <c r="K26" s="635"/>
      <c r="L26" s="634"/>
      <c r="M26" s="634"/>
      <c r="N26" s="635"/>
      <c r="O26" s="634"/>
      <c r="P26" s="635"/>
      <c r="Q26" s="635">
        <f>R26</f>
        <v>0</v>
      </c>
      <c r="R26" s="634"/>
      <c r="S26" s="634"/>
      <c r="T26" s="635"/>
      <c r="U26" s="635"/>
      <c r="V26" s="636">
        <f>Q26</f>
        <v>0</v>
      </c>
    </row>
    <row r="27" spans="1:22" ht="69.75" customHeight="1" hidden="1">
      <c r="A27" s="431" t="s">
        <v>211</v>
      </c>
      <c r="B27" s="418"/>
      <c r="C27" s="535"/>
      <c r="D27" s="535"/>
      <c r="E27" s="635">
        <f>I27</f>
        <v>0</v>
      </c>
      <c r="F27" s="634"/>
      <c r="G27" s="634"/>
      <c r="H27" s="634"/>
      <c r="I27" s="634"/>
      <c r="J27" s="634"/>
      <c r="K27" s="635">
        <f>SUM(L27:M27)</f>
        <v>0</v>
      </c>
      <c r="L27" s="634">
        <f>'свод бюджет'!O70</f>
        <v>0</v>
      </c>
      <c r="M27" s="634"/>
      <c r="N27" s="635"/>
      <c r="O27" s="634"/>
      <c r="P27" s="635"/>
      <c r="Q27" s="635"/>
      <c r="R27" s="634"/>
      <c r="S27" s="634"/>
      <c r="T27" s="635"/>
      <c r="U27" s="635"/>
      <c r="V27" s="636">
        <f>E27+K27</f>
        <v>0</v>
      </c>
    </row>
    <row r="28" spans="1:22" ht="18" hidden="1">
      <c r="A28" s="417" t="s">
        <v>703</v>
      </c>
      <c r="B28" s="418"/>
      <c r="C28" s="535"/>
      <c r="D28" s="535"/>
      <c r="E28" s="635">
        <f>I28</f>
        <v>0</v>
      </c>
      <c r="F28" s="634"/>
      <c r="G28" s="634"/>
      <c r="H28" s="634"/>
      <c r="I28" s="634">
        <f>I27</f>
        <v>0</v>
      </c>
      <c r="J28" s="634"/>
      <c r="K28" s="635">
        <f>SUM(K27)</f>
        <v>0</v>
      </c>
      <c r="L28" s="635">
        <f>SUM(L27)</f>
        <v>0</v>
      </c>
      <c r="M28" s="635">
        <f aca="true" t="shared" si="1" ref="M28:V28">SUM(M27)</f>
        <v>0</v>
      </c>
      <c r="N28" s="635">
        <f t="shared" si="1"/>
        <v>0</v>
      </c>
      <c r="O28" s="635">
        <f t="shared" si="1"/>
        <v>0</v>
      </c>
      <c r="P28" s="635">
        <f t="shared" si="1"/>
        <v>0</v>
      </c>
      <c r="Q28" s="635">
        <f t="shared" si="1"/>
        <v>0</v>
      </c>
      <c r="R28" s="635">
        <f t="shared" si="1"/>
        <v>0</v>
      </c>
      <c r="S28" s="635">
        <f t="shared" si="1"/>
        <v>0</v>
      </c>
      <c r="T28" s="635">
        <f t="shared" si="1"/>
        <v>0</v>
      </c>
      <c r="U28" s="635">
        <f t="shared" si="1"/>
        <v>0</v>
      </c>
      <c r="V28" s="635">
        <f t="shared" si="1"/>
        <v>0</v>
      </c>
    </row>
    <row r="29" spans="1:22" ht="18">
      <c r="A29" s="417" t="s">
        <v>342</v>
      </c>
      <c r="B29" s="418"/>
      <c r="C29" s="535"/>
      <c r="D29" s="535"/>
      <c r="E29" s="635"/>
      <c r="F29" s="633"/>
      <c r="G29" s="633"/>
      <c r="H29" s="633"/>
      <c r="I29" s="633"/>
      <c r="J29" s="633"/>
      <c r="K29" s="635"/>
      <c r="L29" s="633"/>
      <c r="M29" s="633"/>
      <c r="N29" s="635"/>
      <c r="O29" s="633"/>
      <c r="P29" s="635"/>
      <c r="Q29" s="635"/>
      <c r="R29" s="633"/>
      <c r="S29" s="633"/>
      <c r="T29" s="635"/>
      <c r="U29" s="635"/>
      <c r="V29" s="635">
        <f>E29+K29</f>
        <v>0</v>
      </c>
    </row>
    <row r="30" spans="1:22" ht="18" hidden="1">
      <c r="A30" s="427" t="s">
        <v>221</v>
      </c>
      <c r="B30" s="418"/>
      <c r="C30" s="535"/>
      <c r="D30" s="535"/>
      <c r="E30" s="635"/>
      <c r="F30" s="634"/>
      <c r="G30" s="634"/>
      <c r="H30" s="634"/>
      <c r="I30" s="634"/>
      <c r="J30" s="634"/>
      <c r="K30" s="635">
        <f>SUM(L30:M30)</f>
        <v>0</v>
      </c>
      <c r="L30" s="634"/>
      <c r="M30" s="634"/>
      <c r="N30" s="635"/>
      <c r="O30" s="634"/>
      <c r="P30" s="635"/>
      <c r="Q30" s="635"/>
      <c r="R30" s="634"/>
      <c r="S30" s="634"/>
      <c r="T30" s="635"/>
      <c r="U30" s="635"/>
      <c r="V30" s="636">
        <f>K30</f>
        <v>0</v>
      </c>
    </row>
    <row r="31" spans="1:22" ht="36" hidden="1">
      <c r="A31" s="427" t="s">
        <v>222</v>
      </c>
      <c r="B31" s="418"/>
      <c r="C31" s="535"/>
      <c r="D31" s="535"/>
      <c r="E31" s="635"/>
      <c r="F31" s="634"/>
      <c r="G31" s="634"/>
      <c r="H31" s="634"/>
      <c r="I31" s="634"/>
      <c r="J31" s="634"/>
      <c r="K31" s="635">
        <f>SUM(L31:M31)</f>
        <v>0</v>
      </c>
      <c r="L31" s="634"/>
      <c r="M31" s="634"/>
      <c r="N31" s="635"/>
      <c r="O31" s="634"/>
      <c r="P31" s="635"/>
      <c r="Q31" s="635"/>
      <c r="R31" s="634"/>
      <c r="S31" s="634"/>
      <c r="T31" s="635"/>
      <c r="U31" s="635"/>
      <c r="V31" s="636">
        <f>K31</f>
        <v>0</v>
      </c>
    </row>
    <row r="32" spans="1:22" ht="18" hidden="1">
      <c r="A32" s="427" t="s">
        <v>223</v>
      </c>
      <c r="B32" s="418">
        <f>SUM(C32:D32)</f>
        <v>0</v>
      </c>
      <c r="C32" s="535"/>
      <c r="D32" s="535"/>
      <c r="E32" s="635">
        <f aca="true" t="shared" si="2" ref="E32:E39">SUM(F32:J32)</f>
        <v>0</v>
      </c>
      <c r="F32" s="634"/>
      <c r="G32" s="634"/>
      <c r="H32" s="634"/>
      <c r="I32" s="634"/>
      <c r="J32" s="634"/>
      <c r="K32" s="635">
        <f>SUM(L32:M32)</f>
        <v>0</v>
      </c>
      <c r="L32" s="634"/>
      <c r="M32" s="634"/>
      <c r="N32" s="635">
        <f>O32</f>
        <v>0</v>
      </c>
      <c r="O32" s="634"/>
      <c r="P32" s="635"/>
      <c r="Q32" s="635">
        <f>SUM(R32:S32)</f>
        <v>0</v>
      </c>
      <c r="R32" s="634"/>
      <c r="S32" s="634"/>
      <c r="T32" s="635"/>
      <c r="U32" s="635"/>
      <c r="V32" s="636">
        <f>U32+T32+S32+R32+P32+N32+K32+E32+B32</f>
        <v>0</v>
      </c>
    </row>
    <row r="33" spans="1:22" ht="54" customHeight="1" hidden="1">
      <c r="A33" s="427" t="s">
        <v>224</v>
      </c>
      <c r="B33" s="418"/>
      <c r="C33" s="535"/>
      <c r="D33" s="535"/>
      <c r="E33" s="635">
        <f t="shared" si="2"/>
        <v>0</v>
      </c>
      <c r="F33" s="634"/>
      <c r="G33" s="634"/>
      <c r="H33" s="634"/>
      <c r="I33" s="634"/>
      <c r="J33" s="634"/>
      <c r="K33" s="635"/>
      <c r="L33" s="634"/>
      <c r="M33" s="634"/>
      <c r="N33" s="635"/>
      <c r="O33" s="634"/>
      <c r="P33" s="635"/>
      <c r="Q33" s="635"/>
      <c r="R33" s="634"/>
      <c r="S33" s="634"/>
      <c r="T33" s="635"/>
      <c r="U33" s="635"/>
      <c r="V33" s="636">
        <f>U33+T33+S33+R33+P33+N33+K33+E33+B33</f>
        <v>0</v>
      </c>
    </row>
    <row r="34" spans="1:22" ht="65.25" customHeight="1" hidden="1">
      <c r="A34" s="569" t="s">
        <v>615</v>
      </c>
      <c r="B34" s="418"/>
      <c r="C34" s="418"/>
      <c r="D34" s="418"/>
      <c r="E34" s="428">
        <f t="shared" si="2"/>
        <v>0</v>
      </c>
      <c r="F34" s="428"/>
      <c r="G34" s="428"/>
      <c r="H34" s="428"/>
      <c r="I34" s="428"/>
      <c r="J34" s="428">
        <f>'свод бюджет'!L74</f>
        <v>0</v>
      </c>
      <c r="K34" s="428"/>
      <c r="L34" s="428"/>
      <c r="M34" s="428"/>
      <c r="N34" s="428"/>
      <c r="O34" s="428"/>
      <c r="P34" s="428"/>
      <c r="Q34" s="637"/>
      <c r="R34" s="637"/>
      <c r="S34" s="637"/>
      <c r="T34" s="637"/>
      <c r="U34" s="637"/>
      <c r="V34" s="428">
        <f aca="true" t="shared" si="3" ref="V34:V42">E34+K34</f>
        <v>0</v>
      </c>
    </row>
    <row r="35" spans="1:22" ht="15" customHeight="1" hidden="1">
      <c r="A35" s="569" t="s">
        <v>67</v>
      </c>
      <c r="B35" s="418"/>
      <c r="C35" s="418"/>
      <c r="D35" s="418"/>
      <c r="E35" s="418">
        <f t="shared" si="2"/>
        <v>0</v>
      </c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635"/>
      <c r="R35" s="635"/>
      <c r="S35" s="635"/>
      <c r="T35" s="635"/>
      <c r="U35" s="635"/>
      <c r="V35" s="429">
        <f t="shared" si="3"/>
        <v>0</v>
      </c>
    </row>
    <row r="36" spans="1:22" ht="69" customHeight="1" hidden="1">
      <c r="A36" s="569" t="s">
        <v>68</v>
      </c>
      <c r="B36" s="418"/>
      <c r="C36" s="418"/>
      <c r="D36" s="418"/>
      <c r="E36" s="418">
        <f t="shared" si="2"/>
        <v>0</v>
      </c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635"/>
      <c r="R36" s="635"/>
      <c r="S36" s="635"/>
      <c r="T36" s="635"/>
      <c r="U36" s="635"/>
      <c r="V36" s="429">
        <f t="shared" si="3"/>
        <v>0</v>
      </c>
    </row>
    <row r="37" spans="1:22" ht="72.75" customHeight="1" hidden="1">
      <c r="A37" s="569" t="s">
        <v>496</v>
      </c>
      <c r="B37" s="418"/>
      <c r="C37" s="428"/>
      <c r="D37" s="428"/>
      <c r="E37" s="428">
        <f t="shared" si="2"/>
        <v>0</v>
      </c>
      <c r="F37" s="428"/>
      <c r="G37" s="428"/>
      <c r="H37" s="428"/>
      <c r="I37" s="428">
        <f>'свод бюджет'!K74</f>
        <v>0</v>
      </c>
      <c r="J37" s="428">
        <f>'свод бюджет'!L75</f>
        <v>0</v>
      </c>
      <c r="K37" s="428"/>
      <c r="L37" s="428"/>
      <c r="M37" s="428"/>
      <c r="N37" s="428"/>
      <c r="O37" s="428"/>
      <c r="P37" s="428"/>
      <c r="Q37" s="637"/>
      <c r="R37" s="637"/>
      <c r="S37" s="637"/>
      <c r="T37" s="637"/>
      <c r="U37" s="637"/>
      <c r="V37" s="428">
        <f t="shared" si="3"/>
        <v>0</v>
      </c>
    </row>
    <row r="38" spans="1:22" ht="37.5" customHeight="1" hidden="1">
      <c r="A38" s="569" t="s">
        <v>106</v>
      </c>
      <c r="B38" s="418"/>
      <c r="C38" s="418"/>
      <c r="D38" s="428"/>
      <c r="E38" s="428">
        <f>I38</f>
        <v>0</v>
      </c>
      <c r="F38" s="428"/>
      <c r="G38" s="428"/>
      <c r="H38" s="428"/>
      <c r="I38" s="428">
        <f>'свод бюджет'!K75</f>
        <v>0</v>
      </c>
      <c r="J38" s="428"/>
      <c r="K38" s="428"/>
      <c r="L38" s="428"/>
      <c r="M38" s="428"/>
      <c r="N38" s="428"/>
      <c r="O38" s="428"/>
      <c r="P38" s="428"/>
      <c r="Q38" s="428">
        <f>R38</f>
        <v>0</v>
      </c>
      <c r="R38" s="428">
        <f>'свод бюджет'!W76</f>
        <v>0</v>
      </c>
      <c r="S38" s="428"/>
      <c r="T38" s="637"/>
      <c r="U38" s="637"/>
      <c r="V38" s="428">
        <f>Q38</f>
        <v>0</v>
      </c>
    </row>
    <row r="39" spans="1:22" ht="34.5" customHeight="1">
      <c r="A39" s="569" t="s">
        <v>1270</v>
      </c>
      <c r="B39" s="418"/>
      <c r="C39" s="418"/>
      <c r="D39" s="418"/>
      <c r="E39" s="635">
        <f t="shared" si="2"/>
        <v>15</v>
      </c>
      <c r="F39" s="418"/>
      <c r="G39" s="418"/>
      <c r="H39" s="418"/>
      <c r="I39" s="637"/>
      <c r="J39" s="428">
        <v>15</v>
      </c>
      <c r="K39" s="795">
        <f>M39</f>
        <v>0</v>
      </c>
      <c r="L39" s="428">
        <v>70</v>
      </c>
      <c r="M39" s="795">
        <f>'свод бюджет'!P77</f>
        <v>0</v>
      </c>
      <c r="N39" s="428"/>
      <c r="O39" s="428"/>
      <c r="P39" s="428"/>
      <c r="Q39" s="637">
        <f>S39</f>
        <v>0</v>
      </c>
      <c r="R39" s="637"/>
      <c r="S39" s="637">
        <f>'свод бюджет'!Y77</f>
        <v>0</v>
      </c>
      <c r="T39" s="637"/>
      <c r="U39" s="637"/>
      <c r="V39" s="795">
        <f>E39+K39+S39+L39</f>
        <v>85</v>
      </c>
    </row>
    <row r="40" spans="1:22" ht="39" customHeight="1">
      <c r="A40" s="569" t="s">
        <v>501</v>
      </c>
      <c r="B40" s="418"/>
      <c r="C40" s="418"/>
      <c r="D40" s="418"/>
      <c r="E40" s="637"/>
      <c r="F40" s="428"/>
      <c r="G40" s="428"/>
      <c r="H40" s="428"/>
      <c r="I40" s="428"/>
      <c r="J40" s="637"/>
      <c r="K40" s="795"/>
      <c r="L40" s="428"/>
      <c r="M40" s="428"/>
      <c r="N40" s="428"/>
      <c r="O40" s="428"/>
      <c r="P40" s="428"/>
      <c r="Q40" s="637"/>
      <c r="R40" s="637"/>
      <c r="S40" s="637"/>
      <c r="T40" s="637"/>
      <c r="U40" s="637"/>
      <c r="V40" s="637">
        <f t="shared" si="3"/>
        <v>0</v>
      </c>
    </row>
    <row r="41" spans="1:22" ht="63" customHeight="1">
      <c r="A41" s="569" t="s">
        <v>1204</v>
      </c>
      <c r="B41" s="418"/>
      <c r="C41" s="418"/>
      <c r="D41" s="418"/>
      <c r="E41" s="637"/>
      <c r="F41" s="428"/>
      <c r="G41" s="428"/>
      <c r="H41" s="428"/>
      <c r="I41" s="428"/>
      <c r="J41" s="637"/>
      <c r="K41" s="795"/>
      <c r="L41" s="428"/>
      <c r="M41" s="428"/>
      <c r="N41" s="428"/>
      <c r="O41" s="428"/>
      <c r="P41" s="428"/>
      <c r="Q41" s="637">
        <f>R41</f>
        <v>0</v>
      </c>
      <c r="R41" s="637"/>
      <c r="S41" s="637"/>
      <c r="T41" s="637"/>
      <c r="U41" s="637"/>
      <c r="V41" s="637">
        <f>Q41</f>
        <v>0</v>
      </c>
    </row>
    <row r="42" spans="1:22" ht="61.5" customHeight="1">
      <c r="A42" s="569" t="s">
        <v>1203</v>
      </c>
      <c r="B42" s="428"/>
      <c r="C42" s="428"/>
      <c r="D42" s="428"/>
      <c r="E42" s="637">
        <f>J42</f>
        <v>0</v>
      </c>
      <c r="F42" s="428"/>
      <c r="G42" s="428"/>
      <c r="H42" s="428"/>
      <c r="I42" s="428">
        <f>'свод бюджет'!K80</f>
        <v>0</v>
      </c>
      <c r="J42" s="637"/>
      <c r="K42" s="795"/>
      <c r="L42" s="428"/>
      <c r="M42" s="428"/>
      <c r="N42" s="428"/>
      <c r="O42" s="428"/>
      <c r="P42" s="428"/>
      <c r="Q42" s="637"/>
      <c r="R42" s="637"/>
      <c r="S42" s="637"/>
      <c r="T42" s="637"/>
      <c r="U42" s="637"/>
      <c r="V42" s="638">
        <f t="shared" si="3"/>
        <v>0</v>
      </c>
    </row>
    <row r="43" spans="1:22" ht="18">
      <c r="A43" s="417" t="s">
        <v>343</v>
      </c>
      <c r="B43" s="418">
        <f aca="true" t="shared" si="4" ref="B43:G43">SUM(B32:B39)</f>
        <v>0</v>
      </c>
      <c r="C43" s="418">
        <f t="shared" si="4"/>
        <v>0</v>
      </c>
      <c r="D43" s="418">
        <f t="shared" si="4"/>
        <v>0</v>
      </c>
      <c r="E43" s="635">
        <f>SUM(E34:E42)</f>
        <v>15</v>
      </c>
      <c r="F43" s="418">
        <f t="shared" si="4"/>
        <v>0</v>
      </c>
      <c r="G43" s="418">
        <f t="shared" si="4"/>
        <v>0</v>
      </c>
      <c r="H43" s="418"/>
      <c r="I43" s="635">
        <f aca="true" t="shared" si="5" ref="I43:S43">SUM(I34:I42)</f>
        <v>0</v>
      </c>
      <c r="J43" s="635">
        <f t="shared" si="5"/>
        <v>15</v>
      </c>
      <c r="K43" s="796">
        <f t="shared" si="5"/>
        <v>0</v>
      </c>
      <c r="L43" s="418">
        <f t="shared" si="5"/>
        <v>70</v>
      </c>
      <c r="M43" s="796">
        <f t="shared" si="5"/>
        <v>0</v>
      </c>
      <c r="N43" s="418">
        <f t="shared" si="5"/>
        <v>0</v>
      </c>
      <c r="O43" s="418">
        <f t="shared" si="5"/>
        <v>0</v>
      </c>
      <c r="P43" s="418">
        <f t="shared" si="5"/>
        <v>0</v>
      </c>
      <c r="Q43" s="635">
        <f t="shared" si="5"/>
        <v>0</v>
      </c>
      <c r="R43" s="418">
        <f t="shared" si="5"/>
        <v>0</v>
      </c>
      <c r="S43" s="635">
        <f t="shared" si="5"/>
        <v>0</v>
      </c>
      <c r="T43" s="635">
        <f>SUM(T32:T39)</f>
        <v>0</v>
      </c>
      <c r="U43" s="635">
        <f>SUM(U32:U39)</f>
        <v>0</v>
      </c>
      <c r="V43" s="796">
        <f>SUM(V30:V42)</f>
        <v>85</v>
      </c>
    </row>
    <row r="44" spans="1:22" ht="18">
      <c r="A44" s="417" t="s">
        <v>941</v>
      </c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796"/>
      <c r="N44" s="418"/>
      <c r="O44" s="418"/>
      <c r="P44" s="418"/>
      <c r="Q44" s="635"/>
      <c r="R44" s="635"/>
      <c r="S44" s="635"/>
      <c r="T44" s="635"/>
      <c r="U44" s="635"/>
      <c r="V44" s="635"/>
    </row>
    <row r="45" spans="1:22" ht="60.75" customHeight="1">
      <c r="A45" s="332" t="s">
        <v>942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28">
        <f>L45</f>
        <v>0</v>
      </c>
      <c r="L45" s="428">
        <f>'свод бюджет'!O83</f>
        <v>0</v>
      </c>
      <c r="M45" s="795"/>
      <c r="N45" s="428"/>
      <c r="O45" s="428"/>
      <c r="P45" s="428"/>
      <c r="Q45" s="637"/>
      <c r="R45" s="637"/>
      <c r="S45" s="637"/>
      <c r="T45" s="637"/>
      <c r="U45" s="637"/>
      <c r="V45" s="637">
        <f>Q45</f>
        <v>0</v>
      </c>
    </row>
    <row r="46" spans="1:22" ht="24" customHeight="1">
      <c r="A46" s="417" t="s">
        <v>943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>
        <f>K45</f>
        <v>0</v>
      </c>
      <c r="L46" s="418">
        <f>L45</f>
        <v>0</v>
      </c>
      <c r="M46" s="796"/>
      <c r="N46" s="418"/>
      <c r="O46" s="418"/>
      <c r="P46" s="418"/>
      <c r="Q46" s="635">
        <f>Q45</f>
        <v>0</v>
      </c>
      <c r="R46" s="635"/>
      <c r="S46" s="635">
        <f>S45</f>
        <v>0</v>
      </c>
      <c r="T46" s="635"/>
      <c r="U46" s="635"/>
      <c r="V46" s="635">
        <f>V45</f>
        <v>0</v>
      </c>
    </row>
    <row r="47" spans="1:22" s="788" customFormat="1" ht="18">
      <c r="A47" s="789" t="s">
        <v>225</v>
      </c>
      <c r="B47" s="783"/>
      <c r="C47" s="783"/>
      <c r="D47" s="783"/>
      <c r="E47" s="785">
        <f>E43+E28</f>
        <v>15</v>
      </c>
      <c r="F47" s="783">
        <f aca="true" t="shared" si="6" ref="F47:U47">F43+F28</f>
        <v>0</v>
      </c>
      <c r="G47" s="783">
        <f t="shared" si="6"/>
        <v>0</v>
      </c>
      <c r="H47" s="783"/>
      <c r="I47" s="783">
        <f>I43+I28</f>
        <v>0</v>
      </c>
      <c r="J47" s="783">
        <f t="shared" si="6"/>
        <v>15</v>
      </c>
      <c r="K47" s="783">
        <f>K46</f>
        <v>0</v>
      </c>
      <c r="L47" s="783">
        <f>L46</f>
        <v>0</v>
      </c>
      <c r="M47" s="797">
        <f t="shared" si="6"/>
        <v>0</v>
      </c>
      <c r="N47" s="783">
        <f t="shared" si="6"/>
        <v>0</v>
      </c>
      <c r="O47" s="783">
        <f t="shared" si="6"/>
        <v>0</v>
      </c>
      <c r="P47" s="783">
        <f t="shared" si="6"/>
        <v>0</v>
      </c>
      <c r="Q47" s="785">
        <f>Q46</f>
        <v>0</v>
      </c>
      <c r="R47" s="785">
        <f t="shared" si="6"/>
        <v>0</v>
      </c>
      <c r="S47" s="785">
        <f>Q47</f>
        <v>0</v>
      </c>
      <c r="T47" s="785">
        <f t="shared" si="6"/>
        <v>0</v>
      </c>
      <c r="U47" s="785">
        <f t="shared" si="6"/>
        <v>0</v>
      </c>
      <c r="V47" s="797">
        <f>V43+V46</f>
        <v>85</v>
      </c>
    </row>
    <row r="48" spans="1:22" s="403" customFormat="1" ht="26.25" customHeight="1" hidden="1">
      <c r="A48" s="417" t="s">
        <v>531</v>
      </c>
      <c r="B48" s="429"/>
      <c r="C48" s="432"/>
      <c r="D48" s="432"/>
      <c r="E48" s="636"/>
      <c r="F48" s="638"/>
      <c r="G48" s="638"/>
      <c r="H48" s="638"/>
      <c r="I48" s="638"/>
      <c r="J48" s="638"/>
      <c r="K48" s="636"/>
      <c r="L48" s="638"/>
      <c r="M48" s="638"/>
      <c r="N48" s="636"/>
      <c r="O48" s="638"/>
      <c r="P48" s="636"/>
      <c r="Q48" s="635"/>
      <c r="R48" s="638"/>
      <c r="S48" s="638"/>
      <c r="T48" s="636"/>
      <c r="U48" s="636"/>
      <c r="V48" s="636"/>
    </row>
    <row r="49" ht="18" hidden="1"/>
    <row r="50" ht="18" hidden="1"/>
    <row r="51" spans="1:22" s="403" customFormat="1" ht="20.25" customHeight="1">
      <c r="A51" s="430" t="s">
        <v>71</v>
      </c>
      <c r="B51" s="429"/>
      <c r="C51" s="429"/>
      <c r="D51" s="429"/>
      <c r="E51" s="636"/>
      <c r="F51" s="636"/>
      <c r="G51" s="636"/>
      <c r="H51" s="636"/>
      <c r="I51" s="636"/>
      <c r="J51" s="636"/>
      <c r="K51" s="637">
        <f>M51</f>
        <v>70</v>
      </c>
      <c r="L51" s="637"/>
      <c r="M51" s="637">
        <v>70</v>
      </c>
      <c r="N51" s="636"/>
      <c r="O51" s="636"/>
      <c r="P51" s="636"/>
      <c r="Q51" s="636"/>
      <c r="R51" s="636"/>
      <c r="S51" s="636"/>
      <c r="T51" s="636"/>
      <c r="U51" s="636"/>
      <c r="V51" s="637">
        <f>K51</f>
        <v>70</v>
      </c>
    </row>
    <row r="52" spans="1:22" s="403" customFormat="1" ht="20.25" customHeight="1">
      <c r="A52" s="417" t="s">
        <v>585</v>
      </c>
      <c r="B52" s="429"/>
      <c r="C52" s="429"/>
      <c r="D52" s="429"/>
      <c r="E52" s="636"/>
      <c r="F52" s="636"/>
      <c r="G52" s="636"/>
      <c r="H52" s="636"/>
      <c r="I52" s="636"/>
      <c r="J52" s="636"/>
      <c r="K52" s="636">
        <f>M52</f>
        <v>70</v>
      </c>
      <c r="L52" s="636"/>
      <c r="M52" s="636">
        <f>M51</f>
        <v>70</v>
      </c>
      <c r="N52" s="636"/>
      <c r="O52" s="636"/>
      <c r="P52" s="636"/>
      <c r="Q52" s="636"/>
      <c r="R52" s="636"/>
      <c r="S52" s="636"/>
      <c r="T52" s="636"/>
      <c r="U52" s="636"/>
      <c r="V52" s="636">
        <f>K52</f>
        <v>70</v>
      </c>
    </row>
    <row r="53" spans="1:22" s="403" customFormat="1" ht="20.25" customHeight="1">
      <c r="A53" s="430" t="s">
        <v>460</v>
      </c>
      <c r="B53" s="429"/>
      <c r="C53" s="429"/>
      <c r="D53" s="429"/>
      <c r="E53" s="636"/>
      <c r="F53" s="636"/>
      <c r="G53" s="636"/>
      <c r="H53" s="636"/>
      <c r="I53" s="636"/>
      <c r="J53" s="636"/>
      <c r="K53" s="636"/>
      <c r="L53" s="636"/>
      <c r="M53" s="636"/>
      <c r="N53" s="636"/>
      <c r="O53" s="636"/>
      <c r="P53" s="636"/>
      <c r="Q53" s="636"/>
      <c r="R53" s="636"/>
      <c r="S53" s="636"/>
      <c r="T53" s="636"/>
      <c r="U53" s="636"/>
      <c r="V53" s="636"/>
    </row>
    <row r="54" spans="1:22" s="403" customFormat="1" ht="20.25" customHeight="1">
      <c r="A54" s="538" t="s">
        <v>571</v>
      </c>
      <c r="B54" s="429"/>
      <c r="C54" s="429"/>
      <c r="D54" s="429"/>
      <c r="E54" s="636">
        <f>I54</f>
        <v>0</v>
      </c>
      <c r="F54" s="636"/>
      <c r="G54" s="636"/>
      <c r="H54" s="636"/>
      <c r="I54" s="636"/>
      <c r="J54" s="636"/>
      <c r="K54" s="636"/>
      <c r="L54" s="636"/>
      <c r="M54" s="639"/>
      <c r="N54" s="636"/>
      <c r="O54" s="636"/>
      <c r="P54" s="636"/>
      <c r="Q54" s="636"/>
      <c r="R54" s="636"/>
      <c r="S54" s="636"/>
      <c r="T54" s="636"/>
      <c r="U54" s="636"/>
      <c r="V54" s="637">
        <f>E54+K54</f>
        <v>0</v>
      </c>
    </row>
    <row r="55" spans="1:22" s="403" customFormat="1" ht="20.25" customHeight="1">
      <c r="A55" s="417" t="s">
        <v>461</v>
      </c>
      <c r="B55" s="429"/>
      <c r="C55" s="429"/>
      <c r="D55" s="429"/>
      <c r="E55" s="636">
        <f>E54</f>
        <v>0</v>
      </c>
      <c r="F55" s="636"/>
      <c r="G55" s="636"/>
      <c r="H55" s="636"/>
      <c r="I55" s="636">
        <f>I54</f>
        <v>0</v>
      </c>
      <c r="J55" s="636"/>
      <c r="K55" s="636"/>
      <c r="L55" s="636"/>
      <c r="M55" s="636"/>
      <c r="N55" s="636"/>
      <c r="O55" s="636"/>
      <c r="P55" s="636"/>
      <c r="Q55" s="636"/>
      <c r="R55" s="636"/>
      <c r="S55" s="636"/>
      <c r="T55" s="636"/>
      <c r="U55" s="636"/>
      <c r="V55" s="636">
        <f>V54</f>
        <v>0</v>
      </c>
    </row>
    <row r="56" spans="1:22" ht="27" customHeight="1">
      <c r="A56" s="430" t="s">
        <v>722</v>
      </c>
      <c r="B56" s="418"/>
      <c r="C56" s="535"/>
      <c r="D56" s="535"/>
      <c r="E56" s="635"/>
      <c r="F56" s="634"/>
      <c r="G56" s="634"/>
      <c r="H56" s="634"/>
      <c r="I56" s="634"/>
      <c r="J56" s="634"/>
      <c r="K56" s="635"/>
      <c r="L56" s="634"/>
      <c r="M56" s="634"/>
      <c r="N56" s="635"/>
      <c r="O56" s="634"/>
      <c r="P56" s="635"/>
      <c r="Q56" s="635"/>
      <c r="R56" s="634"/>
      <c r="S56" s="634"/>
      <c r="T56" s="635"/>
      <c r="U56" s="635"/>
      <c r="V56" s="636"/>
    </row>
    <row r="57" spans="1:22" s="403" customFormat="1" ht="42.75" customHeight="1">
      <c r="A57" s="332" t="s">
        <v>494</v>
      </c>
      <c r="B57" s="429"/>
      <c r="C57" s="432"/>
      <c r="D57" s="432"/>
      <c r="E57" s="637">
        <f>SUM(F57:J57)</f>
        <v>0</v>
      </c>
      <c r="F57" s="638"/>
      <c r="G57" s="638"/>
      <c r="H57" s="638"/>
      <c r="I57" s="638">
        <f>'свод бюджет'!K96</f>
        <v>0</v>
      </c>
      <c r="J57" s="638">
        <f>'свод бюджет'!L96</f>
        <v>0</v>
      </c>
      <c r="K57" s="636">
        <f>SUM(L57:M57)</f>
        <v>0</v>
      </c>
      <c r="L57" s="638"/>
      <c r="M57" s="638"/>
      <c r="N57" s="636"/>
      <c r="O57" s="638"/>
      <c r="P57" s="636">
        <f>'свод бюджет'!U103</f>
        <v>0</v>
      </c>
      <c r="Q57" s="637">
        <f>SUM(R57:S57)</f>
        <v>0</v>
      </c>
      <c r="R57" s="638">
        <f>'свод бюджет'!W96</f>
        <v>0</v>
      </c>
      <c r="S57" s="638"/>
      <c r="T57" s="636"/>
      <c r="U57" s="636"/>
      <c r="V57" s="637">
        <f>U57+T57+S57+R57+P57+N57+K57+E57+B57</f>
        <v>0</v>
      </c>
    </row>
    <row r="58" spans="1:22" s="403" customFormat="1" ht="20.25" customHeight="1">
      <c r="A58" s="417" t="s">
        <v>723</v>
      </c>
      <c r="B58" s="429">
        <f aca="true" t="shared" si="7" ref="B58:V58">SUM(B57)</f>
        <v>0</v>
      </c>
      <c r="C58" s="429">
        <f t="shared" si="7"/>
        <v>0</v>
      </c>
      <c r="D58" s="429">
        <f t="shared" si="7"/>
        <v>0</v>
      </c>
      <c r="E58" s="636">
        <f t="shared" si="7"/>
        <v>0</v>
      </c>
      <c r="F58" s="636">
        <f t="shared" si="7"/>
        <v>0</v>
      </c>
      <c r="G58" s="636">
        <f t="shared" si="7"/>
        <v>0</v>
      </c>
      <c r="H58" s="636"/>
      <c r="I58" s="636">
        <f t="shared" si="7"/>
        <v>0</v>
      </c>
      <c r="J58" s="636">
        <f t="shared" si="7"/>
        <v>0</v>
      </c>
      <c r="K58" s="636">
        <f t="shared" si="7"/>
        <v>0</v>
      </c>
      <c r="L58" s="636">
        <f t="shared" si="7"/>
        <v>0</v>
      </c>
      <c r="M58" s="636">
        <f t="shared" si="7"/>
        <v>0</v>
      </c>
      <c r="N58" s="636">
        <f t="shared" si="7"/>
        <v>0</v>
      </c>
      <c r="O58" s="636">
        <f t="shared" si="7"/>
        <v>0</v>
      </c>
      <c r="P58" s="636">
        <f t="shared" si="7"/>
        <v>0</v>
      </c>
      <c r="Q58" s="636">
        <f t="shared" si="7"/>
        <v>0</v>
      </c>
      <c r="R58" s="636">
        <f t="shared" si="7"/>
        <v>0</v>
      </c>
      <c r="S58" s="636">
        <f t="shared" si="7"/>
        <v>0</v>
      </c>
      <c r="T58" s="636">
        <f t="shared" si="7"/>
        <v>0</v>
      </c>
      <c r="U58" s="636">
        <f t="shared" si="7"/>
        <v>0</v>
      </c>
      <c r="V58" s="636">
        <f t="shared" si="7"/>
        <v>0</v>
      </c>
    </row>
    <row r="59" spans="1:22" ht="18">
      <c r="A59" s="430" t="s">
        <v>517</v>
      </c>
      <c r="B59" s="418"/>
      <c r="C59" s="535"/>
      <c r="D59" s="535"/>
      <c r="E59" s="635"/>
      <c r="F59" s="634"/>
      <c r="G59" s="634"/>
      <c r="H59" s="634"/>
      <c r="I59" s="634"/>
      <c r="J59" s="634"/>
      <c r="K59" s="635"/>
      <c r="L59" s="634"/>
      <c r="M59" s="634"/>
      <c r="N59" s="635"/>
      <c r="O59" s="634"/>
      <c r="P59" s="635"/>
      <c r="Q59" s="635"/>
      <c r="R59" s="634"/>
      <c r="S59" s="634"/>
      <c r="T59" s="635"/>
      <c r="U59" s="635"/>
      <c r="V59" s="636"/>
    </row>
    <row r="60" spans="1:22" s="403" customFormat="1" ht="20.25" customHeight="1">
      <c r="A60" s="430" t="s">
        <v>495</v>
      </c>
      <c r="B60" s="429"/>
      <c r="C60" s="432"/>
      <c r="D60" s="432"/>
      <c r="E60" s="637"/>
      <c r="F60" s="637"/>
      <c r="G60" s="637"/>
      <c r="H60" s="637"/>
      <c r="I60" s="637"/>
      <c r="J60" s="637"/>
      <c r="K60" s="637"/>
      <c r="L60" s="638">
        <f>'свод бюджет'!O106</f>
        <v>0</v>
      </c>
      <c r="M60" s="638"/>
      <c r="N60" s="636"/>
      <c r="O60" s="638"/>
      <c r="P60" s="636">
        <f>'свод бюджет'!U106</f>
        <v>0</v>
      </c>
      <c r="Q60" s="635">
        <f>SUM(R60:S60)</f>
        <v>0</v>
      </c>
      <c r="R60" s="638"/>
      <c r="S60" s="638"/>
      <c r="T60" s="636"/>
      <c r="U60" s="636"/>
      <c r="V60" s="637">
        <f>U60+T60+S60+R60+P60+N60+K60+E60+B60</f>
        <v>0</v>
      </c>
    </row>
    <row r="61" spans="1:22" s="403" customFormat="1" ht="20.25" customHeight="1">
      <c r="A61" s="417" t="s">
        <v>533</v>
      </c>
      <c r="B61" s="429">
        <f>SUM(B60)</f>
        <v>0</v>
      </c>
      <c r="C61" s="429">
        <f aca="true" t="shared" si="8" ref="C61:V61">SUM(C60)</f>
        <v>0</v>
      </c>
      <c r="D61" s="429">
        <f t="shared" si="8"/>
        <v>0</v>
      </c>
      <c r="E61" s="636">
        <f t="shared" si="8"/>
        <v>0</v>
      </c>
      <c r="F61" s="636">
        <f t="shared" si="8"/>
        <v>0</v>
      </c>
      <c r="G61" s="636">
        <f t="shared" si="8"/>
        <v>0</v>
      </c>
      <c r="H61" s="636"/>
      <c r="I61" s="636">
        <f t="shared" si="8"/>
        <v>0</v>
      </c>
      <c r="J61" s="636">
        <f t="shared" si="8"/>
        <v>0</v>
      </c>
      <c r="K61" s="636">
        <f t="shared" si="8"/>
        <v>0</v>
      </c>
      <c r="L61" s="636">
        <f t="shared" si="8"/>
        <v>0</v>
      </c>
      <c r="M61" s="636">
        <f t="shared" si="8"/>
        <v>0</v>
      </c>
      <c r="N61" s="636">
        <f t="shared" si="8"/>
        <v>0</v>
      </c>
      <c r="O61" s="636">
        <f t="shared" si="8"/>
        <v>0</v>
      </c>
      <c r="P61" s="636">
        <f t="shared" si="8"/>
        <v>0</v>
      </c>
      <c r="Q61" s="636">
        <f t="shared" si="8"/>
        <v>0</v>
      </c>
      <c r="R61" s="636">
        <f t="shared" si="8"/>
        <v>0</v>
      </c>
      <c r="S61" s="636">
        <f t="shared" si="8"/>
        <v>0</v>
      </c>
      <c r="T61" s="636">
        <f t="shared" si="8"/>
        <v>0</v>
      </c>
      <c r="U61" s="636">
        <f t="shared" si="8"/>
        <v>0</v>
      </c>
      <c r="V61" s="636">
        <f t="shared" si="8"/>
        <v>0</v>
      </c>
    </row>
    <row r="62" spans="1:22" s="403" customFormat="1" ht="40.5" customHeight="1">
      <c r="A62" s="332" t="s">
        <v>532</v>
      </c>
      <c r="B62" s="429">
        <f>SUM(C62:D62)</f>
        <v>0</v>
      </c>
      <c r="C62" s="432"/>
      <c r="D62" s="432"/>
      <c r="E62" s="637">
        <f>SUM(F62:J62)</f>
        <v>0</v>
      </c>
      <c r="F62" s="638"/>
      <c r="G62" s="638"/>
      <c r="H62" s="638">
        <f>'свод бюджет'!I89</f>
        <v>0</v>
      </c>
      <c r="I62" s="638">
        <f>'свод бюджет'!K89</f>
        <v>0</v>
      </c>
      <c r="J62" s="638">
        <f>'свод бюджет'!L101</f>
        <v>0</v>
      </c>
      <c r="K62" s="636">
        <f>SUM(L62:M62)</f>
        <v>0</v>
      </c>
      <c r="L62" s="638"/>
      <c r="M62" s="638">
        <f>'свод бюджет'!P89</f>
        <v>0</v>
      </c>
      <c r="N62" s="636">
        <f>O62</f>
        <v>0</v>
      </c>
      <c r="O62" s="638"/>
      <c r="P62" s="636"/>
      <c r="Q62" s="635">
        <f>SUM(R62:S62)</f>
        <v>0</v>
      </c>
      <c r="R62" s="638"/>
      <c r="S62" s="638"/>
      <c r="T62" s="636"/>
      <c r="U62" s="636"/>
      <c r="V62" s="637">
        <f>U62+T62+S62+R62+P62+N62+K62+E62+B62</f>
        <v>0</v>
      </c>
    </row>
    <row r="63" spans="1:22" s="403" customFormat="1" ht="20.25" customHeight="1">
      <c r="A63" s="417" t="s">
        <v>4</v>
      </c>
      <c r="B63" s="429">
        <f>SUM(B62)</f>
        <v>0</v>
      </c>
      <c r="C63" s="429">
        <f aca="true" t="shared" si="9" ref="C63:V63">SUM(C62)</f>
        <v>0</v>
      </c>
      <c r="D63" s="429">
        <f t="shared" si="9"/>
        <v>0</v>
      </c>
      <c r="E63" s="636">
        <f t="shared" si="9"/>
        <v>0</v>
      </c>
      <c r="F63" s="636">
        <f t="shared" si="9"/>
        <v>0</v>
      </c>
      <c r="G63" s="636">
        <f t="shared" si="9"/>
        <v>0</v>
      </c>
      <c r="H63" s="636">
        <f t="shared" si="9"/>
        <v>0</v>
      </c>
      <c r="I63" s="636">
        <f t="shared" si="9"/>
        <v>0</v>
      </c>
      <c r="J63" s="636">
        <f t="shared" si="9"/>
        <v>0</v>
      </c>
      <c r="K63" s="636">
        <f t="shared" si="9"/>
        <v>0</v>
      </c>
      <c r="L63" s="636">
        <f t="shared" si="9"/>
        <v>0</v>
      </c>
      <c r="M63" s="636">
        <f t="shared" si="9"/>
        <v>0</v>
      </c>
      <c r="N63" s="636">
        <f t="shared" si="9"/>
        <v>0</v>
      </c>
      <c r="O63" s="636">
        <f t="shared" si="9"/>
        <v>0</v>
      </c>
      <c r="P63" s="636">
        <f t="shared" si="9"/>
        <v>0</v>
      </c>
      <c r="Q63" s="636">
        <f t="shared" si="9"/>
        <v>0</v>
      </c>
      <c r="R63" s="636">
        <f t="shared" si="9"/>
        <v>0</v>
      </c>
      <c r="S63" s="636">
        <f t="shared" si="9"/>
        <v>0</v>
      </c>
      <c r="T63" s="636">
        <f t="shared" si="9"/>
        <v>0</v>
      </c>
      <c r="U63" s="636">
        <f t="shared" si="9"/>
        <v>0</v>
      </c>
      <c r="V63" s="636">
        <f t="shared" si="9"/>
        <v>0</v>
      </c>
    </row>
    <row r="64" spans="1:22" s="433" customFormat="1" ht="21" customHeight="1">
      <c r="A64" s="417" t="s">
        <v>458</v>
      </c>
      <c r="B64" s="418">
        <f>B28+B43+B61+B63</f>
        <v>0</v>
      </c>
      <c r="C64" s="418">
        <f>C28+C43+C61+C63</f>
        <v>0</v>
      </c>
      <c r="D64" s="418">
        <f>D28+D43+D61+D63</f>
        <v>0</v>
      </c>
      <c r="E64" s="635"/>
      <c r="F64" s="635">
        <f>F61+F58+F63</f>
        <v>0</v>
      </c>
      <c r="G64" s="635">
        <f>G61+G58+G63</f>
        <v>0</v>
      </c>
      <c r="H64" s="635">
        <f>H63</f>
        <v>0</v>
      </c>
      <c r="I64" s="635">
        <f>I61+I58+I63</f>
        <v>0</v>
      </c>
      <c r="J64" s="635"/>
      <c r="K64" s="635"/>
      <c r="L64" s="635">
        <f>L61+L58+L63</f>
        <v>0</v>
      </c>
      <c r="M64" s="635"/>
      <c r="N64" s="635">
        <f>N61+N58+N63</f>
        <v>0</v>
      </c>
      <c r="O64" s="635">
        <f>O61+O58+O63</f>
        <v>0</v>
      </c>
      <c r="P64" s="635">
        <f>P61+P58+P63</f>
        <v>0</v>
      </c>
      <c r="Q64" s="635"/>
      <c r="R64" s="635"/>
      <c r="S64" s="635">
        <f>S61+S5+S63</f>
        <v>0</v>
      </c>
      <c r="T64" s="635">
        <f>T61+T58+T63</f>
        <v>0</v>
      </c>
      <c r="U64" s="635">
        <f>U61+U58+U63</f>
        <v>0</v>
      </c>
      <c r="V64" s="635"/>
    </row>
    <row r="65" spans="1:23" s="435" customFormat="1" ht="48.75" customHeight="1">
      <c r="A65" s="327" t="s">
        <v>498</v>
      </c>
      <c r="B65" s="418">
        <f>B23+B64</f>
        <v>0</v>
      </c>
      <c r="C65" s="418">
        <f>C23+C64</f>
        <v>0</v>
      </c>
      <c r="D65" s="418">
        <f>D23+D64</f>
        <v>0</v>
      </c>
      <c r="E65" s="635"/>
      <c r="F65" s="635">
        <f>F64+F47</f>
        <v>0</v>
      </c>
      <c r="G65" s="635">
        <f>G64+G47</f>
        <v>0</v>
      </c>
      <c r="H65" s="635">
        <f>H64</f>
        <v>0</v>
      </c>
      <c r="I65" s="635"/>
      <c r="J65" s="635"/>
      <c r="K65" s="637">
        <f>M65</f>
        <v>0</v>
      </c>
      <c r="L65" s="637"/>
      <c r="M65" s="637">
        <f>'свод бюджет'!P104</f>
        <v>0</v>
      </c>
      <c r="N65" s="635">
        <f>N64+N47</f>
        <v>0</v>
      </c>
      <c r="O65" s="635">
        <f>O64+O47</f>
        <v>0</v>
      </c>
      <c r="P65" s="635">
        <f>P64+P47</f>
        <v>0</v>
      </c>
      <c r="Q65" s="637">
        <f>R65</f>
        <v>0</v>
      </c>
      <c r="R65" s="637">
        <f>'свод бюджет'!W104</f>
        <v>0</v>
      </c>
      <c r="S65" s="637"/>
      <c r="T65" s="635">
        <f>T64+T47</f>
        <v>0</v>
      </c>
      <c r="U65" s="635">
        <f>U64+U47</f>
        <v>0</v>
      </c>
      <c r="V65" s="637">
        <f>Q65+K65</f>
        <v>0</v>
      </c>
      <c r="W65" s="434"/>
    </row>
    <row r="66" spans="1:22" ht="18">
      <c r="A66" s="664" t="s">
        <v>497</v>
      </c>
      <c r="B66" s="536"/>
      <c r="C66" s="536"/>
      <c r="D66" s="536"/>
      <c r="E66" s="640">
        <f>J66</f>
        <v>0</v>
      </c>
      <c r="F66" s="640"/>
      <c r="G66" s="640"/>
      <c r="H66" s="640"/>
      <c r="I66" s="640"/>
      <c r="J66" s="641">
        <f>'свод бюджет'!L105</f>
        <v>0</v>
      </c>
      <c r="K66" s="640"/>
      <c r="L66" s="640"/>
      <c r="M66" s="640"/>
      <c r="N66" s="640"/>
      <c r="O66" s="640"/>
      <c r="P66" s="640"/>
      <c r="Q66" s="640"/>
      <c r="R66" s="640"/>
      <c r="S66" s="640"/>
      <c r="T66" s="640"/>
      <c r="U66" s="640"/>
      <c r="V66" s="637">
        <f>E66</f>
        <v>0</v>
      </c>
    </row>
    <row r="67" spans="1:22" ht="36" customHeight="1">
      <c r="A67" s="329" t="s">
        <v>503</v>
      </c>
      <c r="B67" s="536"/>
      <c r="C67" s="536"/>
      <c r="D67" s="536"/>
      <c r="E67" s="640">
        <f>J67</f>
        <v>0</v>
      </c>
      <c r="F67" s="640"/>
      <c r="G67" s="640"/>
      <c r="H67" s="640"/>
      <c r="I67" s="640"/>
      <c r="J67" s="641">
        <f>'свод бюджет'!L106</f>
        <v>0</v>
      </c>
      <c r="K67" s="640"/>
      <c r="L67" s="640"/>
      <c r="M67" s="640"/>
      <c r="N67" s="640"/>
      <c r="O67" s="640"/>
      <c r="P67" s="640"/>
      <c r="Q67" s="428">
        <v>0</v>
      </c>
      <c r="R67" s="428"/>
      <c r="S67" s="428">
        <v>0</v>
      </c>
      <c r="T67" s="876"/>
      <c r="U67" s="876"/>
      <c r="V67" s="428">
        <f>E67+Q67</f>
        <v>0</v>
      </c>
    </row>
    <row r="68" spans="1:22" s="540" customFormat="1" ht="18">
      <c r="A68" s="544" t="s">
        <v>1259</v>
      </c>
      <c r="B68" s="541"/>
      <c r="C68" s="541"/>
      <c r="D68" s="541"/>
      <c r="E68" s="642">
        <f>E65+E66+E67</f>
        <v>0</v>
      </c>
      <c r="F68" s="642">
        <f aca="true" t="shared" si="10" ref="F68:R68">F65+F66+F67</f>
        <v>0</v>
      </c>
      <c r="G68" s="642">
        <f t="shared" si="10"/>
        <v>0</v>
      </c>
      <c r="H68" s="642">
        <f t="shared" si="10"/>
        <v>0</v>
      </c>
      <c r="I68" s="642">
        <f t="shared" si="10"/>
        <v>0</v>
      </c>
      <c r="J68" s="642">
        <f t="shared" si="10"/>
        <v>0</v>
      </c>
      <c r="K68" s="642">
        <f t="shared" si="10"/>
        <v>0</v>
      </c>
      <c r="L68" s="642">
        <f t="shared" si="10"/>
        <v>0</v>
      </c>
      <c r="M68" s="642"/>
      <c r="N68" s="642">
        <f t="shared" si="10"/>
        <v>0</v>
      </c>
      <c r="O68" s="642">
        <f t="shared" si="10"/>
        <v>0</v>
      </c>
      <c r="P68" s="642">
        <f t="shared" si="10"/>
        <v>0</v>
      </c>
      <c r="Q68" s="877">
        <v>0</v>
      </c>
      <c r="R68" s="877">
        <f t="shared" si="10"/>
        <v>0</v>
      </c>
      <c r="S68" s="877">
        <v>0</v>
      </c>
      <c r="T68" s="877">
        <f>T65+T66+T67</f>
        <v>0</v>
      </c>
      <c r="U68" s="877">
        <f>U65+U66+U67</f>
        <v>0</v>
      </c>
      <c r="V68" s="877"/>
    </row>
    <row r="69" spans="1:22" s="792" customFormat="1" ht="18">
      <c r="A69" s="790" t="s">
        <v>534</v>
      </c>
      <c r="B69" s="791"/>
      <c r="C69" s="791"/>
      <c r="D69" s="791"/>
      <c r="E69" s="780">
        <v>0</v>
      </c>
      <c r="F69" s="780">
        <f aca="true" t="shared" si="11" ref="F69:U69">F68+F61+F58+F55+F63+F52</f>
        <v>0</v>
      </c>
      <c r="G69" s="780">
        <f t="shared" si="11"/>
        <v>0</v>
      </c>
      <c r="H69" s="780">
        <f t="shared" si="11"/>
        <v>0</v>
      </c>
      <c r="I69" s="780">
        <v>0</v>
      </c>
      <c r="J69" s="780">
        <v>0</v>
      </c>
      <c r="K69" s="780">
        <v>0</v>
      </c>
      <c r="L69" s="780">
        <f t="shared" si="11"/>
        <v>0</v>
      </c>
      <c r="M69" s="780">
        <v>0</v>
      </c>
      <c r="N69" s="780">
        <f t="shared" si="11"/>
        <v>0</v>
      </c>
      <c r="O69" s="780">
        <f t="shared" si="11"/>
        <v>0</v>
      </c>
      <c r="P69" s="780">
        <f t="shared" si="11"/>
        <v>0</v>
      </c>
      <c r="Q69" s="779">
        <v>0</v>
      </c>
      <c r="R69" s="779">
        <f t="shared" si="11"/>
        <v>0</v>
      </c>
      <c r="S69" s="779">
        <v>0</v>
      </c>
      <c r="T69" s="779">
        <f t="shared" si="11"/>
        <v>0</v>
      </c>
      <c r="U69" s="779">
        <f t="shared" si="11"/>
        <v>0</v>
      </c>
      <c r="V69" s="779">
        <v>70</v>
      </c>
    </row>
    <row r="70" spans="1:23" s="792" customFormat="1" ht="18">
      <c r="A70" s="790" t="s">
        <v>540</v>
      </c>
      <c r="B70" s="791"/>
      <c r="C70" s="791"/>
      <c r="D70" s="791"/>
      <c r="E70" s="780">
        <v>0</v>
      </c>
      <c r="F70" s="780">
        <f aca="true" t="shared" si="12" ref="F70:U70">F69+F47+F23</f>
        <v>0</v>
      </c>
      <c r="G70" s="780">
        <f t="shared" si="12"/>
        <v>0</v>
      </c>
      <c r="H70" s="780">
        <f t="shared" si="12"/>
        <v>0</v>
      </c>
      <c r="I70" s="780">
        <v>0</v>
      </c>
      <c r="J70" s="780">
        <v>0</v>
      </c>
      <c r="K70" s="780">
        <f t="shared" si="12"/>
        <v>0</v>
      </c>
      <c r="L70" s="780">
        <f t="shared" si="12"/>
        <v>0</v>
      </c>
      <c r="M70" s="780"/>
      <c r="N70" s="780">
        <f t="shared" si="12"/>
        <v>0</v>
      </c>
      <c r="O70" s="780">
        <f t="shared" si="12"/>
        <v>0</v>
      </c>
      <c r="P70" s="780">
        <f t="shared" si="12"/>
        <v>0</v>
      </c>
      <c r="Q70" s="780">
        <v>0</v>
      </c>
      <c r="R70" s="780">
        <v>0</v>
      </c>
      <c r="S70" s="780">
        <v>0</v>
      </c>
      <c r="T70" s="780" t="e">
        <f t="shared" si="12"/>
        <v>#REF!</v>
      </c>
      <c r="U70" s="780">
        <f t="shared" si="12"/>
        <v>0</v>
      </c>
      <c r="V70" s="780">
        <f>V47+V52</f>
        <v>155</v>
      </c>
      <c r="W70" s="793">
        <f>40854.4-V70</f>
        <v>40699.4</v>
      </c>
    </row>
    <row r="71" spans="1:22" ht="18">
      <c r="A71" s="542" t="s">
        <v>687</v>
      </c>
      <c r="B71" s="543"/>
      <c r="C71" s="543"/>
      <c r="D71" s="543"/>
      <c r="E71" s="543"/>
      <c r="F71" s="543"/>
      <c r="G71" s="543"/>
      <c r="H71" s="543"/>
      <c r="I71" s="543"/>
      <c r="J71" s="543"/>
      <c r="K71" s="543"/>
      <c r="L71" s="543"/>
      <c r="M71" s="543"/>
      <c r="N71" s="543"/>
      <c r="O71" s="543"/>
      <c r="P71" s="543"/>
      <c r="Q71" s="543"/>
      <c r="R71" s="543"/>
      <c r="S71" s="543"/>
      <c r="T71" s="543"/>
      <c r="U71" s="543"/>
      <c r="V71" s="543"/>
    </row>
    <row r="72" ht="18">
      <c r="A72" s="436"/>
    </row>
    <row r="73" ht="18">
      <c r="A73" s="436"/>
    </row>
    <row r="74" ht="18">
      <c r="A74" s="436"/>
    </row>
    <row r="75" ht="18">
      <c r="A75" s="436"/>
    </row>
    <row r="76" ht="18">
      <c r="A76" s="436"/>
    </row>
    <row r="77" ht="18">
      <c r="A77" s="436"/>
    </row>
    <row r="78" ht="18">
      <c r="A78" s="436"/>
    </row>
    <row r="79" ht="18">
      <c r="A79" s="436"/>
    </row>
    <row r="80" ht="18">
      <c r="A80" s="436"/>
    </row>
    <row r="81" ht="18">
      <c r="A81" s="436"/>
    </row>
    <row r="82" ht="18">
      <c r="A82" s="436"/>
    </row>
    <row r="83" ht="18">
      <c r="A83" s="436"/>
    </row>
    <row r="84" ht="18">
      <c r="A84" s="436"/>
    </row>
    <row r="85" ht="18">
      <c r="A85" s="436"/>
    </row>
    <row r="86" ht="18">
      <c r="A86" s="436"/>
    </row>
    <row r="87" ht="18">
      <c r="A87" s="436"/>
    </row>
    <row r="88" ht="18">
      <c r="A88" s="436"/>
    </row>
    <row r="89" ht="18">
      <c r="A89" s="436"/>
    </row>
    <row r="90" ht="18">
      <c r="A90" s="436"/>
    </row>
    <row r="91" ht="18">
      <c r="A91" s="436"/>
    </row>
    <row r="92" ht="18">
      <c r="A92" s="436"/>
    </row>
    <row r="93" ht="18">
      <c r="A93" s="436"/>
    </row>
    <row r="94" ht="18">
      <c r="A94" s="436"/>
    </row>
    <row r="95" ht="18">
      <c r="A95" s="436"/>
    </row>
    <row r="96" ht="18">
      <c r="A96" s="436"/>
    </row>
    <row r="97" ht="18">
      <c r="A97" s="436"/>
    </row>
    <row r="98" ht="18">
      <c r="A98" s="436"/>
    </row>
    <row r="99" ht="18">
      <c r="A99" s="436"/>
    </row>
    <row r="100" ht="18">
      <c r="A100" s="436"/>
    </row>
    <row r="101" ht="18">
      <c r="A101" s="436"/>
    </row>
    <row r="102" ht="18">
      <c r="A102" s="436"/>
    </row>
    <row r="103" ht="18">
      <c r="A103" s="436"/>
    </row>
    <row r="104" ht="18">
      <c r="A104" s="436"/>
    </row>
    <row r="105" ht="18">
      <c r="A105" s="436"/>
    </row>
    <row r="106" ht="18">
      <c r="A106" s="436"/>
    </row>
    <row r="107" ht="18">
      <c r="A107" s="436"/>
    </row>
    <row r="108" ht="18">
      <c r="A108" s="436"/>
    </row>
    <row r="109" ht="18">
      <c r="A109" s="436"/>
    </row>
    <row r="110" ht="18">
      <c r="A110" s="436"/>
    </row>
    <row r="111" ht="18">
      <c r="A111" s="436"/>
    </row>
    <row r="112" ht="18">
      <c r="A112" s="436"/>
    </row>
    <row r="113" ht="18">
      <c r="A113" s="436"/>
    </row>
    <row r="114" ht="18">
      <c r="A114" s="436"/>
    </row>
    <row r="115" ht="18">
      <c r="A115" s="436"/>
    </row>
    <row r="116" ht="18">
      <c r="A116" s="436"/>
    </row>
    <row r="117" ht="18">
      <c r="A117" s="436"/>
    </row>
    <row r="118" ht="18">
      <c r="A118" s="436"/>
    </row>
    <row r="119" ht="18">
      <c r="A119" s="436"/>
    </row>
    <row r="120" ht="18">
      <c r="A120" s="436"/>
    </row>
    <row r="121" ht="18">
      <c r="A121" s="436"/>
    </row>
    <row r="122" ht="18">
      <c r="A122" s="436"/>
    </row>
    <row r="123" ht="18">
      <c r="A123" s="436"/>
    </row>
    <row r="124" ht="18">
      <c r="A124" s="436"/>
    </row>
    <row r="125" ht="18">
      <c r="A125" s="436"/>
    </row>
    <row r="126" ht="18">
      <c r="A126" s="436"/>
    </row>
    <row r="127" ht="18">
      <c r="A127" s="436"/>
    </row>
    <row r="128" ht="18">
      <c r="A128" s="436"/>
    </row>
    <row r="129" ht="18">
      <c r="A129" s="436"/>
    </row>
    <row r="130" ht="18">
      <c r="A130" s="436"/>
    </row>
    <row r="131" ht="18">
      <c r="A131" s="436"/>
    </row>
    <row r="132" ht="18">
      <c r="A132" s="436"/>
    </row>
    <row r="133" ht="18">
      <c r="A133" s="436"/>
    </row>
    <row r="134" ht="18">
      <c r="A134" s="436"/>
    </row>
    <row r="135" ht="18">
      <c r="A135" s="436"/>
    </row>
    <row r="136" ht="18">
      <c r="A136" s="436"/>
    </row>
    <row r="137" ht="18">
      <c r="A137" s="436"/>
    </row>
    <row r="138" ht="18">
      <c r="A138" s="436"/>
    </row>
    <row r="139" ht="18">
      <c r="A139" s="436"/>
    </row>
    <row r="140" ht="18">
      <c r="A140" s="436"/>
    </row>
    <row r="141" ht="18">
      <c r="A141" s="436"/>
    </row>
    <row r="142" ht="18">
      <c r="A142" s="436"/>
    </row>
    <row r="143" ht="18">
      <c r="A143" s="436"/>
    </row>
    <row r="144" ht="18">
      <c r="A144" s="436"/>
    </row>
    <row r="145" ht="18">
      <c r="A145" s="436"/>
    </row>
    <row r="146" ht="18">
      <c r="A146" s="436"/>
    </row>
    <row r="147" ht="18">
      <c r="A147" s="436"/>
    </row>
    <row r="148" ht="18">
      <c r="A148" s="436"/>
    </row>
    <row r="149" ht="18">
      <c r="A149" s="436"/>
    </row>
    <row r="150" ht="18">
      <c r="A150" s="436"/>
    </row>
    <row r="151" ht="18">
      <c r="A151" s="436"/>
    </row>
    <row r="152" ht="18">
      <c r="A152" s="436"/>
    </row>
    <row r="153" ht="18">
      <c r="A153" s="436"/>
    </row>
    <row r="154" ht="18">
      <c r="A154" s="436"/>
    </row>
    <row r="155" ht="18">
      <c r="A155" s="436"/>
    </row>
    <row r="156" ht="18">
      <c r="A156" s="436"/>
    </row>
    <row r="157" ht="18">
      <c r="A157" s="436"/>
    </row>
    <row r="158" ht="18">
      <c r="A158" s="436"/>
    </row>
    <row r="159" ht="18">
      <c r="A159" s="436"/>
    </row>
    <row r="160" ht="18">
      <c r="A160" s="436"/>
    </row>
    <row r="161" ht="18">
      <c r="A161" s="436"/>
    </row>
    <row r="162" ht="18">
      <c r="A162" s="436"/>
    </row>
    <row r="163" ht="18">
      <c r="A163" s="436"/>
    </row>
    <row r="164" ht="18">
      <c r="A164" s="436"/>
    </row>
    <row r="165" ht="18">
      <c r="A165" s="436"/>
    </row>
    <row r="166" ht="18">
      <c r="A166" s="436"/>
    </row>
    <row r="167" ht="18">
      <c r="A167" s="436"/>
    </row>
    <row r="168" ht="18">
      <c r="A168" s="436"/>
    </row>
    <row r="169" ht="18">
      <c r="A169" s="436"/>
    </row>
    <row r="170" ht="18">
      <c r="A170" s="436"/>
    </row>
    <row r="171" ht="18">
      <c r="A171" s="436"/>
    </row>
    <row r="172" ht="18">
      <c r="A172" s="436"/>
    </row>
    <row r="173" ht="18">
      <c r="A173" s="436"/>
    </row>
    <row r="174" ht="18">
      <c r="A174" s="436"/>
    </row>
    <row r="175" ht="18">
      <c r="A175" s="436"/>
    </row>
    <row r="176" ht="18">
      <c r="A176" s="436"/>
    </row>
    <row r="177" ht="18">
      <c r="A177" s="436"/>
    </row>
    <row r="178" ht="18">
      <c r="A178" s="436"/>
    </row>
    <row r="179" ht="18">
      <c r="A179" s="436"/>
    </row>
    <row r="180" ht="18">
      <c r="A180" s="436"/>
    </row>
    <row r="181" ht="18">
      <c r="A181" s="436"/>
    </row>
    <row r="182" ht="18">
      <c r="A182" s="436"/>
    </row>
    <row r="183" ht="18">
      <c r="A183" s="436"/>
    </row>
    <row r="184" ht="18">
      <c r="A184" s="436"/>
    </row>
    <row r="185" ht="18">
      <c r="A185" s="436"/>
    </row>
    <row r="186" ht="18">
      <c r="A186" s="436"/>
    </row>
    <row r="187" ht="18">
      <c r="A187" s="436"/>
    </row>
    <row r="188" ht="18">
      <c r="A188" s="436"/>
    </row>
  </sheetData>
  <sheetProtection/>
  <mergeCells count="1">
    <mergeCell ref="A6:V6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16"/>
  <sheetViews>
    <sheetView showZeros="0" view="pageBreakPreview" zoomScale="75" zoomScaleSheetLayoutView="75" zoomScalePageLayoutView="0" workbookViewId="0" topLeftCell="A1">
      <selection activeCell="R6" sqref="R6"/>
    </sheetView>
  </sheetViews>
  <sheetFormatPr defaultColWidth="9.00390625" defaultRowHeight="12.75"/>
  <cols>
    <col min="1" max="1" width="27.375" style="163" customWidth="1"/>
    <col min="2" max="2" width="11.125" style="163" customWidth="1"/>
    <col min="3" max="3" width="10.75390625" style="0" customWidth="1"/>
    <col min="4" max="4" width="7.625" style="0" customWidth="1"/>
    <col min="5" max="5" width="10.125" style="0" customWidth="1"/>
    <col min="6" max="6" width="10.00390625" style="0" customWidth="1"/>
    <col min="7" max="7" width="9.00390625" style="0" customWidth="1"/>
    <col min="8" max="8" width="8.875" style="0" customWidth="1"/>
    <col min="9" max="9" width="9.75390625" style="0" customWidth="1"/>
    <col min="10" max="10" width="9.00390625" style="0" hidden="1" customWidth="1"/>
    <col min="11" max="11" width="10.25390625" style="0" customWidth="1"/>
    <col min="12" max="12" width="10.125" style="0" customWidth="1"/>
    <col min="13" max="13" width="9.00390625" style="0" hidden="1" customWidth="1"/>
    <col min="14" max="15" width="10.125" style="0" hidden="1" customWidth="1"/>
    <col min="16" max="16" width="15.00390625" style="0" hidden="1" customWidth="1"/>
    <col min="17" max="17" width="8.625" style="0" customWidth="1"/>
    <col min="18" max="18" width="10.875" style="0" customWidth="1"/>
    <col min="19" max="20" width="9.625" style="0" customWidth="1"/>
    <col min="21" max="21" width="12.125" style="0" customWidth="1"/>
  </cols>
  <sheetData>
    <row r="1" spans="1:21" s="136" customFormat="1" ht="18.75">
      <c r="A1" s="12"/>
      <c r="B1" s="12"/>
      <c r="Q1" s="96" t="s">
        <v>512</v>
      </c>
      <c r="R1" s="405"/>
      <c r="S1" s="96"/>
      <c r="T1" s="584"/>
      <c r="U1" s="162"/>
    </row>
    <row r="2" spans="1:21" s="136" customFormat="1" ht="15.75" customHeight="1">
      <c r="A2" s="12"/>
      <c r="B2" s="12"/>
      <c r="Q2" s="96" t="s">
        <v>546</v>
      </c>
      <c r="R2" s="98"/>
      <c r="S2" s="96"/>
      <c r="T2" s="584"/>
      <c r="U2" s="162"/>
    </row>
    <row r="3" spans="1:21" s="136" customFormat="1" ht="18.75">
      <c r="A3" s="12"/>
      <c r="B3" s="12"/>
      <c r="Q3" s="96" t="s">
        <v>1225</v>
      </c>
      <c r="R3" s="98"/>
      <c r="S3" s="96"/>
      <c r="T3" s="584"/>
      <c r="U3" s="162"/>
    </row>
    <row r="4" spans="1:20" s="136" customFormat="1" ht="15">
      <c r="A4" s="12"/>
      <c r="B4" s="12"/>
      <c r="Q4" s="162"/>
      <c r="R4" s="162" t="s">
        <v>1280</v>
      </c>
      <c r="S4" s="162"/>
      <c r="T4" s="162"/>
    </row>
    <row r="5" spans="1:4" s="136" customFormat="1" ht="15.75">
      <c r="A5" s="234"/>
      <c r="B5" s="136" t="s">
        <v>1186</v>
      </c>
      <c r="D5" s="135"/>
    </row>
    <row r="6" spans="1:8" s="136" customFormat="1" ht="15">
      <c r="A6" s="12"/>
      <c r="B6" s="12"/>
      <c r="H6" s="136" t="s">
        <v>1226</v>
      </c>
    </row>
    <row r="7" spans="1:21" s="136" customFormat="1" ht="15.75">
      <c r="A7" s="12"/>
      <c r="B7" s="12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</row>
    <row r="8" spans="1:21" s="185" customFormat="1" ht="15.75">
      <c r="A8" s="167"/>
      <c r="B8" s="167">
        <v>210</v>
      </c>
      <c r="C8" s="166">
        <v>211</v>
      </c>
      <c r="D8" s="166">
        <v>212</v>
      </c>
      <c r="E8" s="166">
        <v>213</v>
      </c>
      <c r="F8" s="235">
        <v>220</v>
      </c>
      <c r="G8" s="166">
        <v>221</v>
      </c>
      <c r="H8" s="166">
        <v>222</v>
      </c>
      <c r="I8" s="166">
        <v>223</v>
      </c>
      <c r="J8" s="166">
        <v>224</v>
      </c>
      <c r="K8" s="166">
        <v>225</v>
      </c>
      <c r="L8" s="166">
        <v>226</v>
      </c>
      <c r="M8" s="167">
        <v>240</v>
      </c>
      <c r="N8" s="166">
        <v>241</v>
      </c>
      <c r="O8" s="166">
        <v>242</v>
      </c>
      <c r="P8" s="167">
        <v>262</v>
      </c>
      <c r="Q8" s="235">
        <v>290</v>
      </c>
      <c r="R8" s="236">
        <v>300</v>
      </c>
      <c r="S8" s="166">
        <v>310</v>
      </c>
      <c r="T8" s="166">
        <v>340</v>
      </c>
      <c r="U8" s="166"/>
    </row>
    <row r="9" spans="1:21" s="239" customFormat="1" ht="87" customHeight="1">
      <c r="A9" s="167"/>
      <c r="B9" s="237" t="s">
        <v>128</v>
      </c>
      <c r="C9" s="238" t="s">
        <v>727</v>
      </c>
      <c r="D9" s="238" t="s">
        <v>130</v>
      </c>
      <c r="E9" s="238" t="s">
        <v>728</v>
      </c>
      <c r="F9" s="237" t="s">
        <v>734</v>
      </c>
      <c r="G9" s="238" t="s">
        <v>132</v>
      </c>
      <c r="H9" s="238" t="s">
        <v>133</v>
      </c>
      <c r="I9" s="238" t="s">
        <v>134</v>
      </c>
      <c r="J9" s="238" t="s">
        <v>135</v>
      </c>
      <c r="K9" s="238" t="s">
        <v>735</v>
      </c>
      <c r="L9" s="238" t="s">
        <v>736</v>
      </c>
      <c r="M9" s="238" t="s">
        <v>226</v>
      </c>
      <c r="N9" s="238" t="s">
        <v>227</v>
      </c>
      <c r="O9" s="238" t="s">
        <v>228</v>
      </c>
      <c r="P9" s="238" t="s">
        <v>229</v>
      </c>
      <c r="Q9" s="238" t="s">
        <v>140</v>
      </c>
      <c r="R9" s="237" t="s">
        <v>141</v>
      </c>
      <c r="S9" s="238" t="s">
        <v>142</v>
      </c>
      <c r="T9" s="238" t="s">
        <v>143</v>
      </c>
      <c r="U9" s="238" t="s">
        <v>634</v>
      </c>
    </row>
    <row r="10" spans="1:21" s="162" customFormat="1" ht="15.75">
      <c r="A10" s="167" t="s">
        <v>1225</v>
      </c>
      <c r="B10" s="240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40"/>
      <c r="S10" s="205"/>
      <c r="T10" s="205"/>
      <c r="U10" s="241"/>
    </row>
    <row r="11" spans="1:21" s="162" customFormat="1" ht="15.75">
      <c r="A11" s="167" t="s">
        <v>464</v>
      </c>
      <c r="B11" s="240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40"/>
      <c r="S11" s="205"/>
      <c r="T11" s="205"/>
      <c r="U11" s="241"/>
    </row>
    <row r="12" spans="1:21" s="162" customFormat="1" ht="64.5" customHeight="1">
      <c r="A12" s="374" t="s">
        <v>1265</v>
      </c>
      <c r="B12" s="895">
        <f>C12+D12+E12</f>
        <v>591.6</v>
      </c>
      <c r="C12" s="896">
        <v>440.1</v>
      </c>
      <c r="D12" s="895">
        <v>1</v>
      </c>
      <c r="E12" s="896">
        <v>150.5</v>
      </c>
      <c r="F12" s="895">
        <f>G12+H12+I12+K12+L12</f>
        <v>77</v>
      </c>
      <c r="G12" s="895">
        <v>4</v>
      </c>
      <c r="H12" s="895">
        <v>2</v>
      </c>
      <c r="I12" s="895">
        <v>60</v>
      </c>
      <c r="J12" s="895" t="e">
        <f>'[1]свод бюджет'!J89</f>
        <v>#REF!</v>
      </c>
      <c r="K12" s="895">
        <v>6</v>
      </c>
      <c r="L12" s="895">
        <v>5</v>
      </c>
      <c r="M12" s="895" t="e">
        <f>'[1]свод бюджет'!M89</f>
        <v>#REF!</v>
      </c>
      <c r="N12" s="895" t="e">
        <f>'[1]свод бюджет'!N89</f>
        <v>#REF!</v>
      </c>
      <c r="O12" s="895" t="e">
        <f>'[1]свод бюджет'!O89</f>
        <v>#REF!</v>
      </c>
      <c r="P12" s="895"/>
      <c r="Q12" s="895">
        <v>5</v>
      </c>
      <c r="R12" s="895">
        <v>3</v>
      </c>
      <c r="S12" s="895">
        <v>0</v>
      </c>
      <c r="T12" s="895">
        <v>3</v>
      </c>
      <c r="U12" s="895">
        <f>SUM(B12+P12+F12+Q12+R12)</f>
        <v>676.6</v>
      </c>
    </row>
    <row r="13" spans="1:21" s="162" customFormat="1" ht="39.75" customHeight="1" hidden="1">
      <c r="A13" s="445" t="s">
        <v>510</v>
      </c>
      <c r="B13" s="895"/>
      <c r="C13" s="895"/>
      <c r="D13" s="895"/>
      <c r="E13" s="895"/>
      <c r="F13" s="895"/>
      <c r="G13" s="895"/>
      <c r="H13" s="895"/>
      <c r="I13" s="895"/>
      <c r="J13" s="895"/>
      <c r="K13" s="895"/>
      <c r="L13" s="895"/>
      <c r="M13" s="895"/>
      <c r="N13" s="895"/>
      <c r="O13" s="895"/>
      <c r="P13" s="895"/>
      <c r="Q13" s="895"/>
      <c r="R13" s="895"/>
      <c r="S13" s="895"/>
      <c r="T13" s="895"/>
      <c r="U13" s="895"/>
    </row>
    <row r="14" spans="1:21" s="162" customFormat="1" ht="51" customHeight="1" hidden="1">
      <c r="A14" s="374" t="s">
        <v>511</v>
      </c>
      <c r="B14" s="895">
        <f>C14+E14</f>
        <v>0</v>
      </c>
      <c r="C14" s="895"/>
      <c r="D14" s="895"/>
      <c r="E14" s="895"/>
      <c r="F14" s="895"/>
      <c r="G14" s="895"/>
      <c r="H14" s="895"/>
      <c r="I14" s="895"/>
      <c r="J14" s="895"/>
      <c r="K14" s="895"/>
      <c r="L14" s="895"/>
      <c r="M14" s="895"/>
      <c r="N14" s="895"/>
      <c r="O14" s="895"/>
      <c r="P14" s="895"/>
      <c r="Q14" s="895"/>
      <c r="R14" s="895"/>
      <c r="S14" s="895"/>
      <c r="T14" s="895"/>
      <c r="U14" s="895">
        <f>B14</f>
        <v>0</v>
      </c>
    </row>
    <row r="15" spans="1:22" s="244" customFormat="1" ht="16.5" customHeight="1">
      <c r="A15" s="242" t="s">
        <v>235</v>
      </c>
      <c r="B15" s="897">
        <f>SUM(B12:B14)</f>
        <v>591.6</v>
      </c>
      <c r="C15" s="897">
        <f>C12</f>
        <v>440.1</v>
      </c>
      <c r="D15" s="897">
        <f aca="true" t="shared" si="0" ref="D15:T15">SUM(D12)</f>
        <v>1</v>
      </c>
      <c r="E15" s="897">
        <f>E12</f>
        <v>150.5</v>
      </c>
      <c r="F15" s="897">
        <f t="shared" si="0"/>
        <v>77</v>
      </c>
      <c r="G15" s="897">
        <f t="shared" si="0"/>
        <v>4</v>
      </c>
      <c r="H15" s="897">
        <f t="shared" si="0"/>
        <v>2</v>
      </c>
      <c r="I15" s="897">
        <f t="shared" si="0"/>
        <v>60</v>
      </c>
      <c r="J15" s="897" t="e">
        <f t="shared" si="0"/>
        <v>#REF!</v>
      </c>
      <c r="K15" s="897">
        <f t="shared" si="0"/>
        <v>6</v>
      </c>
      <c r="L15" s="897">
        <f t="shared" si="0"/>
        <v>5</v>
      </c>
      <c r="M15" s="897" t="e">
        <f t="shared" si="0"/>
        <v>#REF!</v>
      </c>
      <c r="N15" s="897" t="e">
        <f t="shared" si="0"/>
        <v>#REF!</v>
      </c>
      <c r="O15" s="897" t="e">
        <f t="shared" si="0"/>
        <v>#REF!</v>
      </c>
      <c r="P15" s="897">
        <f t="shared" si="0"/>
        <v>0</v>
      </c>
      <c r="Q15" s="897">
        <f t="shared" si="0"/>
        <v>5</v>
      </c>
      <c r="R15" s="897">
        <f t="shared" si="0"/>
        <v>3</v>
      </c>
      <c r="S15" s="897">
        <f t="shared" si="0"/>
        <v>0</v>
      </c>
      <c r="T15" s="897">
        <f t="shared" si="0"/>
        <v>3</v>
      </c>
      <c r="U15" s="897">
        <f>SUM(U12:V12)</f>
        <v>676.6</v>
      </c>
      <c r="V15" s="243"/>
    </row>
    <row r="16" spans="1:21" s="185" customFormat="1" ht="15">
      <c r="A16" s="163"/>
      <c r="B16" s="163"/>
      <c r="U16" s="245"/>
    </row>
    <row r="17" spans="1:5" s="185" customFormat="1" ht="15">
      <c r="A17" s="163"/>
      <c r="B17" s="163"/>
      <c r="C17" s="185" t="s">
        <v>687</v>
      </c>
      <c r="E17" s="163"/>
    </row>
    <row r="18" spans="1:2" s="185" customFormat="1" ht="15">
      <c r="A18" s="163"/>
      <c r="B18" s="163"/>
    </row>
    <row r="19" spans="1:2" s="185" customFormat="1" ht="15">
      <c r="A19" s="163"/>
      <c r="B19" s="163"/>
    </row>
    <row r="20" spans="1:2" s="185" customFormat="1" ht="15">
      <c r="A20" s="163"/>
      <c r="B20" s="163"/>
    </row>
    <row r="21" spans="1:2" s="185" customFormat="1" ht="15">
      <c r="A21" s="163"/>
      <c r="B21" s="163"/>
    </row>
    <row r="22" spans="1:2" s="185" customFormat="1" ht="15">
      <c r="A22" s="163"/>
      <c r="B22" s="163"/>
    </row>
    <row r="23" spans="1:2" s="185" customFormat="1" ht="15">
      <c r="A23" s="163"/>
      <c r="B23" s="163"/>
    </row>
    <row r="24" spans="1:2" s="185" customFormat="1" ht="15">
      <c r="A24" s="163"/>
      <c r="B24" s="163"/>
    </row>
    <row r="25" spans="1:2" s="185" customFormat="1" ht="15">
      <c r="A25" s="163"/>
      <c r="B25" s="163"/>
    </row>
    <row r="26" spans="1:2" s="185" customFormat="1" ht="15">
      <c r="A26" s="163"/>
      <c r="B26" s="163"/>
    </row>
    <row r="27" spans="1:2" s="185" customFormat="1" ht="15">
      <c r="A27" s="163"/>
      <c r="B27" s="163"/>
    </row>
    <row r="28" spans="1:2" s="185" customFormat="1" ht="15">
      <c r="A28" s="163"/>
      <c r="B28" s="163"/>
    </row>
    <row r="29" spans="1:2" s="185" customFormat="1" ht="15">
      <c r="A29" s="163"/>
      <c r="B29" s="163"/>
    </row>
    <row r="30" spans="1:2" s="185" customFormat="1" ht="15">
      <c r="A30" s="163"/>
      <c r="B30" s="163"/>
    </row>
    <row r="31" spans="1:2" s="185" customFormat="1" ht="15">
      <c r="A31" s="163"/>
      <c r="B31" s="163"/>
    </row>
    <row r="32" spans="1:2" s="185" customFormat="1" ht="15">
      <c r="A32" s="163"/>
      <c r="B32" s="163"/>
    </row>
    <row r="33" spans="1:2" s="185" customFormat="1" ht="15">
      <c r="A33" s="163"/>
      <c r="B33" s="163"/>
    </row>
    <row r="34" spans="1:2" s="185" customFormat="1" ht="15">
      <c r="A34" s="163"/>
      <c r="B34" s="163"/>
    </row>
    <row r="35" spans="1:2" s="185" customFormat="1" ht="15">
      <c r="A35" s="163"/>
      <c r="B35" s="163"/>
    </row>
    <row r="36" spans="1:2" s="185" customFormat="1" ht="15">
      <c r="A36" s="163"/>
      <c r="B36" s="163"/>
    </row>
    <row r="37" spans="1:2" s="185" customFormat="1" ht="15">
      <c r="A37" s="163"/>
      <c r="B37" s="163"/>
    </row>
    <row r="38" spans="1:2" s="185" customFormat="1" ht="15">
      <c r="A38" s="163"/>
      <c r="B38" s="163"/>
    </row>
    <row r="39" spans="1:2" s="185" customFormat="1" ht="15">
      <c r="A39" s="163"/>
      <c r="B39" s="163"/>
    </row>
    <row r="40" spans="1:2" s="185" customFormat="1" ht="15">
      <c r="A40" s="163"/>
      <c r="B40" s="163"/>
    </row>
    <row r="41" spans="1:2" s="185" customFormat="1" ht="15">
      <c r="A41" s="163"/>
      <c r="B41" s="163"/>
    </row>
    <row r="42" spans="1:2" s="185" customFormat="1" ht="15">
      <c r="A42" s="163"/>
      <c r="B42" s="163"/>
    </row>
    <row r="43" spans="1:2" s="185" customFormat="1" ht="15">
      <c r="A43" s="163"/>
      <c r="B43" s="163"/>
    </row>
    <row r="44" spans="1:2" s="185" customFormat="1" ht="15">
      <c r="A44" s="163"/>
      <c r="B44" s="163"/>
    </row>
    <row r="45" spans="1:2" s="185" customFormat="1" ht="15">
      <c r="A45" s="163"/>
      <c r="B45" s="163"/>
    </row>
    <row r="46" spans="1:2" s="185" customFormat="1" ht="15">
      <c r="A46" s="163"/>
      <c r="B46" s="163"/>
    </row>
    <row r="47" spans="1:2" s="185" customFormat="1" ht="15">
      <c r="A47" s="163"/>
      <c r="B47" s="163"/>
    </row>
    <row r="48" spans="1:2" s="185" customFormat="1" ht="15">
      <c r="A48" s="163"/>
      <c r="B48" s="163"/>
    </row>
    <row r="49" spans="1:2" s="185" customFormat="1" ht="15">
      <c r="A49" s="163"/>
      <c r="B49" s="163"/>
    </row>
    <row r="50" spans="1:2" s="185" customFormat="1" ht="15">
      <c r="A50" s="163"/>
      <c r="B50" s="163"/>
    </row>
    <row r="51" spans="1:2" s="185" customFormat="1" ht="15">
      <c r="A51" s="163"/>
      <c r="B51" s="163"/>
    </row>
    <row r="52" spans="1:2" s="185" customFormat="1" ht="15">
      <c r="A52" s="163"/>
      <c r="B52" s="163"/>
    </row>
    <row r="53" spans="1:2" s="185" customFormat="1" ht="15">
      <c r="A53" s="163"/>
      <c r="B53" s="163"/>
    </row>
    <row r="54" spans="1:2" s="185" customFormat="1" ht="15">
      <c r="A54" s="163"/>
      <c r="B54" s="163"/>
    </row>
    <row r="55" spans="1:2" s="185" customFormat="1" ht="15">
      <c r="A55" s="163"/>
      <c r="B55" s="163"/>
    </row>
    <row r="56" spans="1:2" s="185" customFormat="1" ht="15">
      <c r="A56" s="163"/>
      <c r="B56" s="163"/>
    </row>
    <row r="57" spans="1:2" s="185" customFormat="1" ht="15">
      <c r="A57" s="163"/>
      <c r="B57" s="163"/>
    </row>
    <row r="58" spans="1:2" s="185" customFormat="1" ht="15">
      <c r="A58" s="163"/>
      <c r="B58" s="163"/>
    </row>
    <row r="59" spans="1:2" s="185" customFormat="1" ht="15">
      <c r="A59" s="163"/>
      <c r="B59" s="163"/>
    </row>
    <row r="60" spans="1:2" s="185" customFormat="1" ht="15">
      <c r="A60" s="163"/>
      <c r="B60" s="163"/>
    </row>
    <row r="61" spans="1:2" s="185" customFormat="1" ht="15">
      <c r="A61" s="163"/>
      <c r="B61" s="163"/>
    </row>
    <row r="62" spans="1:2" s="185" customFormat="1" ht="15">
      <c r="A62" s="163"/>
      <c r="B62" s="163"/>
    </row>
    <row r="63" spans="1:2" s="185" customFormat="1" ht="15">
      <c r="A63" s="163"/>
      <c r="B63" s="163"/>
    </row>
    <row r="64" spans="1:2" s="185" customFormat="1" ht="15">
      <c r="A64" s="163"/>
      <c r="B64" s="163"/>
    </row>
    <row r="65" spans="1:2" s="185" customFormat="1" ht="15">
      <c r="A65" s="163"/>
      <c r="B65" s="163"/>
    </row>
    <row r="66" spans="1:2" s="185" customFormat="1" ht="15">
      <c r="A66" s="163"/>
      <c r="B66" s="163"/>
    </row>
    <row r="67" spans="1:2" s="185" customFormat="1" ht="15">
      <c r="A67" s="163"/>
      <c r="B67" s="163"/>
    </row>
    <row r="68" spans="1:2" s="185" customFormat="1" ht="15">
      <c r="A68" s="163"/>
      <c r="B68" s="163"/>
    </row>
    <row r="69" spans="1:2" s="185" customFormat="1" ht="15">
      <c r="A69" s="163"/>
      <c r="B69" s="163"/>
    </row>
    <row r="70" spans="1:2" s="185" customFormat="1" ht="15">
      <c r="A70" s="163"/>
      <c r="B70" s="163"/>
    </row>
    <row r="71" spans="1:2" s="185" customFormat="1" ht="15">
      <c r="A71" s="163"/>
      <c r="B71" s="163"/>
    </row>
    <row r="72" spans="1:2" s="185" customFormat="1" ht="15">
      <c r="A72" s="163"/>
      <c r="B72" s="163"/>
    </row>
    <row r="73" spans="1:2" s="185" customFormat="1" ht="15">
      <c r="A73" s="163"/>
      <c r="B73" s="163"/>
    </row>
    <row r="74" spans="1:2" s="185" customFormat="1" ht="15">
      <c r="A74" s="163"/>
      <c r="B74" s="163"/>
    </row>
    <row r="75" spans="1:2" s="185" customFormat="1" ht="15">
      <c r="A75" s="163"/>
      <c r="B75" s="163"/>
    </row>
    <row r="76" spans="1:2" s="185" customFormat="1" ht="15">
      <c r="A76" s="163"/>
      <c r="B76" s="163"/>
    </row>
    <row r="77" spans="1:2" s="185" customFormat="1" ht="15">
      <c r="A77" s="163"/>
      <c r="B77" s="163"/>
    </row>
    <row r="78" spans="1:2" s="185" customFormat="1" ht="15">
      <c r="A78" s="163"/>
      <c r="B78" s="163"/>
    </row>
    <row r="79" spans="1:2" s="185" customFormat="1" ht="15">
      <c r="A79" s="163"/>
      <c r="B79" s="163"/>
    </row>
    <row r="80" spans="1:2" s="185" customFormat="1" ht="15">
      <c r="A80" s="163"/>
      <c r="B80" s="163"/>
    </row>
    <row r="81" spans="1:2" s="185" customFormat="1" ht="15">
      <c r="A81" s="163"/>
      <c r="B81" s="163"/>
    </row>
    <row r="82" spans="1:2" s="185" customFormat="1" ht="15">
      <c r="A82" s="163"/>
      <c r="B82" s="163"/>
    </row>
    <row r="83" spans="1:2" s="185" customFormat="1" ht="15">
      <c r="A83" s="163"/>
      <c r="B83" s="163"/>
    </row>
    <row r="84" spans="1:2" s="185" customFormat="1" ht="15">
      <c r="A84" s="163"/>
      <c r="B84" s="163"/>
    </row>
    <row r="85" spans="1:2" s="185" customFormat="1" ht="15">
      <c r="A85" s="163"/>
      <c r="B85" s="163"/>
    </row>
    <row r="86" spans="1:2" s="185" customFormat="1" ht="15">
      <c r="A86" s="163"/>
      <c r="B86" s="163"/>
    </row>
    <row r="87" spans="1:2" s="185" customFormat="1" ht="15">
      <c r="A87" s="163"/>
      <c r="B87" s="163"/>
    </row>
    <row r="88" spans="1:2" s="185" customFormat="1" ht="15">
      <c r="A88" s="163"/>
      <c r="B88" s="163"/>
    </row>
    <row r="89" spans="1:2" s="185" customFormat="1" ht="15">
      <c r="A89" s="163"/>
      <c r="B89" s="163"/>
    </row>
    <row r="90" spans="1:2" s="185" customFormat="1" ht="15">
      <c r="A90" s="163"/>
      <c r="B90" s="163"/>
    </row>
    <row r="91" spans="1:2" s="185" customFormat="1" ht="15">
      <c r="A91" s="163"/>
      <c r="B91" s="163"/>
    </row>
    <row r="92" spans="1:2" s="185" customFormat="1" ht="15">
      <c r="A92" s="163"/>
      <c r="B92" s="163"/>
    </row>
    <row r="93" spans="1:2" s="185" customFormat="1" ht="15">
      <c r="A93" s="163"/>
      <c r="B93" s="163"/>
    </row>
    <row r="94" spans="1:2" s="185" customFormat="1" ht="15">
      <c r="A94" s="163"/>
      <c r="B94" s="163"/>
    </row>
    <row r="95" spans="1:2" s="185" customFormat="1" ht="15">
      <c r="A95" s="163"/>
      <c r="B95" s="163"/>
    </row>
    <row r="96" spans="1:2" s="185" customFormat="1" ht="15">
      <c r="A96" s="163"/>
      <c r="B96" s="163"/>
    </row>
    <row r="97" spans="1:2" s="185" customFormat="1" ht="15">
      <c r="A97" s="163"/>
      <c r="B97" s="163"/>
    </row>
    <row r="98" spans="1:2" s="185" customFormat="1" ht="15">
      <c r="A98" s="163"/>
      <c r="B98" s="163"/>
    </row>
    <row r="99" spans="1:2" s="185" customFormat="1" ht="15">
      <c r="A99" s="163"/>
      <c r="B99" s="163"/>
    </row>
    <row r="100" spans="1:2" s="185" customFormat="1" ht="15">
      <c r="A100" s="163"/>
      <c r="B100" s="163"/>
    </row>
    <row r="101" spans="1:2" s="185" customFormat="1" ht="15">
      <c r="A101" s="163"/>
      <c r="B101" s="163"/>
    </row>
    <row r="102" spans="1:2" s="185" customFormat="1" ht="15">
      <c r="A102" s="163"/>
      <c r="B102" s="163"/>
    </row>
    <row r="103" spans="1:2" s="185" customFormat="1" ht="15">
      <c r="A103" s="163"/>
      <c r="B103" s="163"/>
    </row>
    <row r="104" spans="1:2" s="185" customFormat="1" ht="15">
      <c r="A104" s="163"/>
      <c r="B104" s="163"/>
    </row>
    <row r="105" spans="1:2" s="185" customFormat="1" ht="15">
      <c r="A105" s="163"/>
      <c r="B105" s="163"/>
    </row>
    <row r="106" spans="1:2" s="185" customFormat="1" ht="15">
      <c r="A106" s="163"/>
      <c r="B106" s="163"/>
    </row>
    <row r="107" spans="1:2" s="185" customFormat="1" ht="15">
      <c r="A107" s="163"/>
      <c r="B107" s="163"/>
    </row>
    <row r="108" spans="1:2" s="185" customFormat="1" ht="15">
      <c r="A108" s="163"/>
      <c r="B108" s="163"/>
    </row>
    <row r="109" spans="1:2" s="185" customFormat="1" ht="15">
      <c r="A109" s="163"/>
      <c r="B109" s="163"/>
    </row>
    <row r="110" spans="1:2" s="185" customFormat="1" ht="15">
      <c r="A110" s="163"/>
      <c r="B110" s="163"/>
    </row>
    <row r="111" spans="1:2" s="185" customFormat="1" ht="15">
      <c r="A111" s="163"/>
      <c r="B111" s="163"/>
    </row>
    <row r="112" spans="1:2" s="185" customFormat="1" ht="15">
      <c r="A112" s="163"/>
      <c r="B112" s="163"/>
    </row>
    <row r="113" spans="1:2" s="185" customFormat="1" ht="15">
      <c r="A113" s="163"/>
      <c r="B113" s="163"/>
    </row>
    <row r="114" spans="1:2" s="185" customFormat="1" ht="15">
      <c r="A114" s="163"/>
      <c r="B114" s="163"/>
    </row>
    <row r="115" spans="1:2" s="185" customFormat="1" ht="15">
      <c r="A115" s="163"/>
      <c r="B115" s="163"/>
    </row>
    <row r="116" spans="1:2" s="185" customFormat="1" ht="15">
      <c r="A116" s="163"/>
      <c r="B116" s="163"/>
    </row>
    <row r="117" spans="1:2" s="185" customFormat="1" ht="15">
      <c r="A117" s="163"/>
      <c r="B117" s="163"/>
    </row>
    <row r="118" spans="1:2" s="185" customFormat="1" ht="15">
      <c r="A118" s="163"/>
      <c r="B118" s="163"/>
    </row>
    <row r="119" spans="1:2" s="185" customFormat="1" ht="15">
      <c r="A119" s="163"/>
      <c r="B119" s="163"/>
    </row>
    <row r="120" spans="1:2" s="185" customFormat="1" ht="15">
      <c r="A120" s="163"/>
      <c r="B120" s="163"/>
    </row>
    <row r="121" spans="1:2" s="185" customFormat="1" ht="15">
      <c r="A121" s="163"/>
      <c r="B121" s="163"/>
    </row>
    <row r="122" spans="1:2" s="185" customFormat="1" ht="15">
      <c r="A122" s="163"/>
      <c r="B122" s="163"/>
    </row>
    <row r="123" spans="1:2" s="185" customFormat="1" ht="15">
      <c r="A123" s="163"/>
      <c r="B123" s="163"/>
    </row>
    <row r="124" spans="1:2" s="185" customFormat="1" ht="15">
      <c r="A124" s="163"/>
      <c r="B124" s="163"/>
    </row>
    <row r="125" spans="1:2" s="185" customFormat="1" ht="15">
      <c r="A125" s="163"/>
      <c r="B125" s="163"/>
    </row>
    <row r="126" spans="1:2" s="185" customFormat="1" ht="15">
      <c r="A126" s="163"/>
      <c r="B126" s="163"/>
    </row>
    <row r="127" spans="1:2" s="185" customFormat="1" ht="15">
      <c r="A127" s="163"/>
      <c r="B127" s="163"/>
    </row>
    <row r="128" spans="1:2" s="185" customFormat="1" ht="15">
      <c r="A128" s="163"/>
      <c r="B128" s="163"/>
    </row>
    <row r="129" spans="1:2" s="185" customFormat="1" ht="15">
      <c r="A129" s="163"/>
      <c r="B129" s="163"/>
    </row>
    <row r="130" spans="1:2" s="185" customFormat="1" ht="15">
      <c r="A130" s="163"/>
      <c r="B130" s="163"/>
    </row>
    <row r="131" spans="1:2" s="185" customFormat="1" ht="15">
      <c r="A131" s="163"/>
      <c r="B131" s="163"/>
    </row>
    <row r="132" spans="1:2" s="185" customFormat="1" ht="15">
      <c r="A132" s="163"/>
      <c r="B132" s="163"/>
    </row>
    <row r="133" spans="1:2" s="185" customFormat="1" ht="15">
      <c r="A133" s="163"/>
      <c r="B133" s="163"/>
    </row>
    <row r="134" spans="1:2" s="185" customFormat="1" ht="15">
      <c r="A134" s="163"/>
      <c r="B134" s="163"/>
    </row>
    <row r="135" spans="1:2" s="185" customFormat="1" ht="15">
      <c r="A135" s="163"/>
      <c r="B135" s="163"/>
    </row>
    <row r="136" spans="1:2" s="185" customFormat="1" ht="15">
      <c r="A136" s="163"/>
      <c r="B136" s="163"/>
    </row>
    <row r="137" spans="1:2" s="185" customFormat="1" ht="15">
      <c r="A137" s="163"/>
      <c r="B137" s="163"/>
    </row>
    <row r="138" spans="1:2" s="185" customFormat="1" ht="15">
      <c r="A138" s="163"/>
      <c r="B138" s="163"/>
    </row>
    <row r="139" spans="1:2" s="185" customFormat="1" ht="15">
      <c r="A139" s="163"/>
      <c r="B139" s="163"/>
    </row>
    <row r="140" spans="1:2" s="185" customFormat="1" ht="15">
      <c r="A140" s="163"/>
      <c r="B140" s="163"/>
    </row>
    <row r="141" spans="1:2" s="185" customFormat="1" ht="15">
      <c r="A141" s="163"/>
      <c r="B141" s="163"/>
    </row>
    <row r="142" spans="1:2" s="185" customFormat="1" ht="15">
      <c r="A142" s="163"/>
      <c r="B142" s="163"/>
    </row>
    <row r="143" spans="1:2" s="185" customFormat="1" ht="15">
      <c r="A143" s="163"/>
      <c r="B143" s="163"/>
    </row>
    <row r="144" spans="1:2" s="185" customFormat="1" ht="15">
      <c r="A144" s="163"/>
      <c r="B144" s="163"/>
    </row>
    <row r="145" spans="1:2" s="185" customFormat="1" ht="15">
      <c r="A145" s="163"/>
      <c r="B145" s="163"/>
    </row>
    <row r="146" spans="1:2" s="185" customFormat="1" ht="15">
      <c r="A146" s="163"/>
      <c r="B146" s="163"/>
    </row>
    <row r="147" spans="1:2" s="185" customFormat="1" ht="15">
      <c r="A147" s="163"/>
      <c r="B147" s="163"/>
    </row>
    <row r="148" spans="1:2" s="185" customFormat="1" ht="15">
      <c r="A148" s="163"/>
      <c r="B148" s="163"/>
    </row>
    <row r="149" spans="1:2" s="185" customFormat="1" ht="15">
      <c r="A149" s="163"/>
      <c r="B149" s="163"/>
    </row>
    <row r="150" spans="1:2" s="185" customFormat="1" ht="15">
      <c r="A150" s="163"/>
      <c r="B150" s="163"/>
    </row>
    <row r="151" spans="1:2" s="185" customFormat="1" ht="15">
      <c r="A151" s="163"/>
      <c r="B151" s="163"/>
    </row>
    <row r="152" spans="1:2" s="185" customFormat="1" ht="15">
      <c r="A152" s="163"/>
      <c r="B152" s="163"/>
    </row>
    <row r="153" spans="1:2" s="185" customFormat="1" ht="15">
      <c r="A153" s="163"/>
      <c r="B153" s="163"/>
    </row>
    <row r="154" spans="1:2" s="185" customFormat="1" ht="15">
      <c r="A154" s="163"/>
      <c r="B154" s="163"/>
    </row>
    <row r="155" spans="1:2" s="185" customFormat="1" ht="15">
      <c r="A155" s="163"/>
      <c r="B155" s="163"/>
    </row>
    <row r="156" spans="1:2" s="185" customFormat="1" ht="15">
      <c r="A156" s="163"/>
      <c r="B156" s="163"/>
    </row>
    <row r="157" spans="1:2" s="185" customFormat="1" ht="15">
      <c r="A157" s="163"/>
      <c r="B157" s="163"/>
    </row>
    <row r="158" spans="1:2" s="185" customFormat="1" ht="15">
      <c r="A158" s="163"/>
      <c r="B158" s="163"/>
    </row>
    <row r="159" spans="1:2" s="185" customFormat="1" ht="15">
      <c r="A159" s="163"/>
      <c r="B159" s="163"/>
    </row>
    <row r="160" spans="1:2" s="185" customFormat="1" ht="15">
      <c r="A160" s="163"/>
      <c r="B160" s="163"/>
    </row>
    <row r="161" spans="1:2" s="185" customFormat="1" ht="15">
      <c r="A161" s="163"/>
      <c r="B161" s="163"/>
    </row>
    <row r="162" spans="1:2" s="185" customFormat="1" ht="15">
      <c r="A162" s="163"/>
      <c r="B162" s="163"/>
    </row>
    <row r="163" spans="1:2" s="185" customFormat="1" ht="15">
      <c r="A163" s="163"/>
      <c r="B163" s="163"/>
    </row>
    <row r="164" spans="1:2" s="185" customFormat="1" ht="15">
      <c r="A164" s="163"/>
      <c r="B164" s="163"/>
    </row>
    <row r="165" spans="1:2" s="185" customFormat="1" ht="15">
      <c r="A165" s="163"/>
      <c r="B165" s="163"/>
    </row>
    <row r="166" spans="1:2" s="185" customFormat="1" ht="15">
      <c r="A166" s="163"/>
      <c r="B166" s="163"/>
    </row>
    <row r="167" spans="1:2" s="185" customFormat="1" ht="15">
      <c r="A167" s="163"/>
      <c r="B167" s="163"/>
    </row>
    <row r="168" spans="1:2" s="185" customFormat="1" ht="15">
      <c r="A168" s="163"/>
      <c r="B168" s="163"/>
    </row>
    <row r="169" spans="1:2" s="185" customFormat="1" ht="15">
      <c r="A169" s="163"/>
      <c r="B169" s="163"/>
    </row>
    <row r="170" spans="1:2" s="185" customFormat="1" ht="15">
      <c r="A170" s="163"/>
      <c r="B170" s="163"/>
    </row>
    <row r="171" spans="1:2" s="185" customFormat="1" ht="15">
      <c r="A171" s="163"/>
      <c r="B171" s="163"/>
    </row>
    <row r="172" spans="1:2" s="185" customFormat="1" ht="15">
      <c r="A172" s="163"/>
      <c r="B172" s="163"/>
    </row>
    <row r="173" spans="1:2" s="185" customFormat="1" ht="15">
      <c r="A173" s="163"/>
      <c r="B173" s="163"/>
    </row>
    <row r="174" spans="1:2" s="185" customFormat="1" ht="15">
      <c r="A174" s="163"/>
      <c r="B174" s="163"/>
    </row>
    <row r="175" spans="1:2" s="185" customFormat="1" ht="15">
      <c r="A175" s="163"/>
      <c r="B175" s="163"/>
    </row>
    <row r="176" spans="1:2" s="185" customFormat="1" ht="15">
      <c r="A176" s="163"/>
      <c r="B176" s="163"/>
    </row>
    <row r="177" spans="1:2" s="185" customFormat="1" ht="15">
      <c r="A177" s="163"/>
      <c r="B177" s="163"/>
    </row>
    <row r="178" spans="1:2" s="185" customFormat="1" ht="15">
      <c r="A178" s="163"/>
      <c r="B178" s="163"/>
    </row>
    <row r="179" spans="1:2" s="185" customFormat="1" ht="15">
      <c r="A179" s="163"/>
      <c r="B179" s="163"/>
    </row>
    <row r="180" spans="1:2" s="185" customFormat="1" ht="15">
      <c r="A180" s="163"/>
      <c r="B180" s="163"/>
    </row>
    <row r="181" spans="1:2" s="185" customFormat="1" ht="15">
      <c r="A181" s="163"/>
      <c r="B181" s="163"/>
    </row>
    <row r="182" spans="1:2" s="185" customFormat="1" ht="15">
      <c r="A182" s="163"/>
      <c r="B182" s="163"/>
    </row>
    <row r="183" spans="1:2" s="185" customFormat="1" ht="15">
      <c r="A183" s="163"/>
      <c r="B183" s="163"/>
    </row>
    <row r="184" spans="1:2" s="185" customFormat="1" ht="15">
      <c r="A184" s="163"/>
      <c r="B184" s="163"/>
    </row>
    <row r="185" spans="1:2" s="185" customFormat="1" ht="15">
      <c r="A185" s="163"/>
      <c r="B185" s="163"/>
    </row>
    <row r="186" spans="1:2" s="185" customFormat="1" ht="15">
      <c r="A186" s="163"/>
      <c r="B186" s="163"/>
    </row>
    <row r="187" spans="1:2" s="185" customFormat="1" ht="15">
      <c r="A187" s="163"/>
      <c r="B187" s="163"/>
    </row>
    <row r="188" spans="1:2" s="185" customFormat="1" ht="15">
      <c r="A188" s="163"/>
      <c r="B188" s="163"/>
    </row>
    <row r="189" spans="1:2" s="185" customFormat="1" ht="15">
      <c r="A189" s="163"/>
      <c r="B189" s="163"/>
    </row>
    <row r="190" spans="1:2" s="185" customFormat="1" ht="15">
      <c r="A190" s="163"/>
      <c r="B190" s="163"/>
    </row>
    <row r="191" spans="1:2" s="185" customFormat="1" ht="15">
      <c r="A191" s="163"/>
      <c r="B191" s="163"/>
    </row>
    <row r="192" spans="1:2" s="185" customFormat="1" ht="15">
      <c r="A192" s="163"/>
      <c r="B192" s="163"/>
    </row>
    <row r="193" spans="1:2" s="185" customFormat="1" ht="15">
      <c r="A193" s="163"/>
      <c r="B193" s="163"/>
    </row>
    <row r="194" spans="1:2" s="185" customFormat="1" ht="15">
      <c r="A194" s="163"/>
      <c r="B194" s="163"/>
    </row>
    <row r="195" spans="1:2" s="185" customFormat="1" ht="15">
      <c r="A195" s="163"/>
      <c r="B195" s="163"/>
    </row>
    <row r="196" spans="1:2" s="185" customFormat="1" ht="15">
      <c r="A196" s="163"/>
      <c r="B196" s="163"/>
    </row>
    <row r="197" spans="1:2" s="185" customFormat="1" ht="15">
      <c r="A197" s="163"/>
      <c r="B197" s="163"/>
    </row>
    <row r="198" spans="1:2" s="185" customFormat="1" ht="15">
      <c r="A198" s="163"/>
      <c r="B198" s="163"/>
    </row>
    <row r="199" spans="1:2" s="185" customFormat="1" ht="15">
      <c r="A199" s="163"/>
      <c r="B199" s="163"/>
    </row>
    <row r="200" spans="1:2" s="185" customFormat="1" ht="15">
      <c r="A200" s="163"/>
      <c r="B200" s="163"/>
    </row>
    <row r="201" spans="1:2" s="185" customFormat="1" ht="15">
      <c r="A201" s="163"/>
      <c r="B201" s="163"/>
    </row>
    <row r="202" spans="1:2" s="185" customFormat="1" ht="15">
      <c r="A202" s="163"/>
      <c r="B202" s="163"/>
    </row>
    <row r="203" spans="1:2" s="185" customFormat="1" ht="15">
      <c r="A203" s="163"/>
      <c r="B203" s="163"/>
    </row>
    <row r="204" spans="1:2" s="185" customFormat="1" ht="15">
      <c r="A204" s="163"/>
      <c r="B204" s="163"/>
    </row>
    <row r="205" spans="1:2" s="185" customFormat="1" ht="15">
      <c r="A205" s="163"/>
      <c r="B205" s="163"/>
    </row>
    <row r="206" spans="1:2" s="185" customFormat="1" ht="15">
      <c r="A206" s="163"/>
      <c r="B206" s="163"/>
    </row>
    <row r="207" spans="1:2" s="185" customFormat="1" ht="15">
      <c r="A207" s="163"/>
      <c r="B207" s="163"/>
    </row>
    <row r="208" spans="1:2" s="185" customFormat="1" ht="15">
      <c r="A208" s="163"/>
      <c r="B208" s="163"/>
    </row>
    <row r="209" spans="1:2" s="185" customFormat="1" ht="15">
      <c r="A209" s="163"/>
      <c r="B209" s="163"/>
    </row>
    <row r="210" spans="1:2" s="185" customFormat="1" ht="15">
      <c r="A210" s="163"/>
      <c r="B210" s="163"/>
    </row>
    <row r="211" spans="1:2" s="185" customFormat="1" ht="15">
      <c r="A211" s="163"/>
      <c r="B211" s="163"/>
    </row>
    <row r="212" spans="1:2" s="185" customFormat="1" ht="15">
      <c r="A212" s="163"/>
      <c r="B212" s="163"/>
    </row>
    <row r="213" spans="1:2" s="185" customFormat="1" ht="15">
      <c r="A213" s="163"/>
      <c r="B213" s="163"/>
    </row>
    <row r="214" spans="1:2" s="185" customFormat="1" ht="15">
      <c r="A214" s="163"/>
      <c r="B214" s="163"/>
    </row>
    <row r="215" spans="1:2" s="185" customFormat="1" ht="15">
      <c r="A215" s="163"/>
      <c r="B215" s="163"/>
    </row>
    <row r="216" spans="1:2" s="185" customFormat="1" ht="15">
      <c r="A216" s="163"/>
      <c r="B216" s="163"/>
    </row>
    <row r="217" spans="1:2" s="185" customFormat="1" ht="15">
      <c r="A217" s="163"/>
      <c r="B217" s="163"/>
    </row>
    <row r="218" spans="1:2" s="185" customFormat="1" ht="15">
      <c r="A218" s="163"/>
      <c r="B218" s="163"/>
    </row>
    <row r="219" spans="1:2" s="185" customFormat="1" ht="15">
      <c r="A219" s="163"/>
      <c r="B219" s="163"/>
    </row>
    <row r="220" spans="1:2" s="185" customFormat="1" ht="15">
      <c r="A220" s="163"/>
      <c r="B220" s="163"/>
    </row>
    <row r="221" spans="1:2" s="185" customFormat="1" ht="15">
      <c r="A221" s="163"/>
      <c r="B221" s="163"/>
    </row>
    <row r="222" spans="1:2" s="185" customFormat="1" ht="15">
      <c r="A222" s="163"/>
      <c r="B222" s="163"/>
    </row>
    <row r="223" spans="1:2" s="185" customFormat="1" ht="15">
      <c r="A223" s="163"/>
      <c r="B223" s="163"/>
    </row>
    <row r="224" spans="1:2" s="185" customFormat="1" ht="15">
      <c r="A224" s="163"/>
      <c r="B224" s="163"/>
    </row>
    <row r="225" spans="1:2" s="185" customFormat="1" ht="15">
      <c r="A225" s="163"/>
      <c r="B225" s="163"/>
    </row>
    <row r="226" spans="1:2" s="185" customFormat="1" ht="15">
      <c r="A226" s="163"/>
      <c r="B226" s="163"/>
    </row>
    <row r="227" spans="1:2" s="185" customFormat="1" ht="15">
      <c r="A227" s="163"/>
      <c r="B227" s="163"/>
    </row>
    <row r="228" spans="1:2" s="185" customFormat="1" ht="15">
      <c r="A228" s="163"/>
      <c r="B228" s="163"/>
    </row>
    <row r="229" spans="1:2" s="185" customFormat="1" ht="15">
      <c r="A229" s="163"/>
      <c r="B229" s="163"/>
    </row>
    <row r="230" spans="1:2" s="185" customFormat="1" ht="15">
      <c r="A230" s="163"/>
      <c r="B230" s="163"/>
    </row>
    <row r="231" spans="1:2" s="185" customFormat="1" ht="15">
      <c r="A231" s="163"/>
      <c r="B231" s="163"/>
    </row>
    <row r="232" spans="1:2" s="185" customFormat="1" ht="15">
      <c r="A232" s="163"/>
      <c r="B232" s="163"/>
    </row>
    <row r="233" spans="1:2" s="185" customFormat="1" ht="15">
      <c r="A233" s="163"/>
      <c r="B233" s="163"/>
    </row>
    <row r="234" spans="1:2" s="185" customFormat="1" ht="15">
      <c r="A234" s="163"/>
      <c r="B234" s="163"/>
    </row>
    <row r="235" spans="1:2" s="185" customFormat="1" ht="15">
      <c r="A235" s="163"/>
      <c r="B235" s="163"/>
    </row>
    <row r="236" spans="1:2" s="185" customFormat="1" ht="15">
      <c r="A236" s="163"/>
      <c r="B236" s="163"/>
    </row>
    <row r="237" spans="1:2" s="185" customFormat="1" ht="15">
      <c r="A237" s="163"/>
      <c r="B237" s="163"/>
    </row>
    <row r="238" spans="1:2" s="185" customFormat="1" ht="15">
      <c r="A238" s="163"/>
      <c r="B238" s="163"/>
    </row>
    <row r="239" spans="1:2" s="185" customFormat="1" ht="15">
      <c r="A239" s="163"/>
      <c r="B239" s="163"/>
    </row>
    <row r="240" spans="1:2" s="185" customFormat="1" ht="15">
      <c r="A240" s="163"/>
      <c r="B240" s="163"/>
    </row>
    <row r="241" spans="1:2" s="185" customFormat="1" ht="15">
      <c r="A241" s="163"/>
      <c r="B241" s="163"/>
    </row>
    <row r="242" spans="1:2" s="185" customFormat="1" ht="15">
      <c r="A242" s="163"/>
      <c r="B242" s="163"/>
    </row>
    <row r="243" spans="1:2" s="185" customFormat="1" ht="15">
      <c r="A243" s="163"/>
      <c r="B243" s="163"/>
    </row>
    <row r="244" spans="1:2" s="185" customFormat="1" ht="15">
      <c r="A244" s="163"/>
      <c r="B244" s="163"/>
    </row>
    <row r="245" spans="1:2" s="185" customFormat="1" ht="15">
      <c r="A245" s="163"/>
      <c r="B245" s="163"/>
    </row>
    <row r="246" spans="1:2" s="185" customFormat="1" ht="15">
      <c r="A246" s="163"/>
      <c r="B246" s="163"/>
    </row>
    <row r="247" spans="1:2" s="185" customFormat="1" ht="15">
      <c r="A247" s="163"/>
      <c r="B247" s="163"/>
    </row>
    <row r="248" spans="1:2" s="185" customFormat="1" ht="15">
      <c r="A248" s="163"/>
      <c r="B248" s="163"/>
    </row>
    <row r="249" spans="1:2" s="185" customFormat="1" ht="15">
      <c r="A249" s="163"/>
      <c r="B249" s="163"/>
    </row>
    <row r="250" spans="1:2" s="185" customFormat="1" ht="15">
      <c r="A250" s="163"/>
      <c r="B250" s="163"/>
    </row>
    <row r="251" spans="1:2" s="185" customFormat="1" ht="15">
      <c r="A251" s="163"/>
      <c r="B251" s="163"/>
    </row>
    <row r="252" spans="1:2" s="185" customFormat="1" ht="15">
      <c r="A252" s="163"/>
      <c r="B252" s="163"/>
    </row>
    <row r="253" spans="1:2" s="185" customFormat="1" ht="15">
      <c r="A253" s="163"/>
      <c r="B253" s="163"/>
    </row>
    <row r="254" spans="1:2" s="185" customFormat="1" ht="15">
      <c r="A254" s="163"/>
      <c r="B254" s="163"/>
    </row>
    <row r="255" spans="1:2" s="185" customFormat="1" ht="15">
      <c r="A255" s="163"/>
      <c r="B255" s="163"/>
    </row>
    <row r="256" spans="1:2" s="185" customFormat="1" ht="15">
      <c r="A256" s="163"/>
      <c r="B256" s="163"/>
    </row>
    <row r="257" spans="1:2" s="185" customFormat="1" ht="15">
      <c r="A257" s="163"/>
      <c r="B257" s="163"/>
    </row>
    <row r="258" spans="1:2" s="185" customFormat="1" ht="15">
      <c r="A258" s="163"/>
      <c r="B258" s="163"/>
    </row>
    <row r="259" spans="1:2" s="185" customFormat="1" ht="15">
      <c r="A259" s="163"/>
      <c r="B259" s="163"/>
    </row>
    <row r="260" spans="1:2" s="185" customFormat="1" ht="15">
      <c r="A260" s="163"/>
      <c r="B260" s="163"/>
    </row>
    <row r="261" spans="1:2" s="185" customFormat="1" ht="15">
      <c r="A261" s="163"/>
      <c r="B261" s="163"/>
    </row>
    <row r="262" spans="1:2" s="185" customFormat="1" ht="15">
      <c r="A262" s="163"/>
      <c r="B262" s="163"/>
    </row>
    <row r="263" spans="1:2" s="185" customFormat="1" ht="15">
      <c r="A263" s="163"/>
      <c r="B263" s="163"/>
    </row>
    <row r="264" spans="1:2" s="185" customFormat="1" ht="15">
      <c r="A264" s="163"/>
      <c r="B264" s="163"/>
    </row>
    <row r="265" spans="1:2" s="185" customFormat="1" ht="15">
      <c r="A265" s="163"/>
      <c r="B265" s="163"/>
    </row>
    <row r="266" spans="1:2" s="185" customFormat="1" ht="15">
      <c r="A266" s="163"/>
      <c r="B266" s="163"/>
    </row>
    <row r="267" spans="1:2" s="185" customFormat="1" ht="15">
      <c r="A267" s="163"/>
      <c r="B267" s="163"/>
    </row>
    <row r="268" spans="1:2" s="185" customFormat="1" ht="15">
      <c r="A268" s="163"/>
      <c r="B268" s="163"/>
    </row>
    <row r="269" spans="1:2" s="185" customFormat="1" ht="15">
      <c r="A269" s="163"/>
      <c r="B269" s="163"/>
    </row>
    <row r="270" spans="1:2" s="185" customFormat="1" ht="15">
      <c r="A270" s="163"/>
      <c r="B270" s="163"/>
    </row>
    <row r="271" spans="1:2" s="185" customFormat="1" ht="15">
      <c r="A271" s="163"/>
      <c r="B271" s="163"/>
    </row>
    <row r="272" spans="1:2" s="185" customFormat="1" ht="15">
      <c r="A272" s="163"/>
      <c r="B272" s="163"/>
    </row>
    <row r="273" spans="1:2" s="185" customFormat="1" ht="15">
      <c r="A273" s="163"/>
      <c r="B273" s="163"/>
    </row>
    <row r="274" spans="1:2" s="185" customFormat="1" ht="15">
      <c r="A274" s="163"/>
      <c r="B274" s="163"/>
    </row>
    <row r="275" spans="1:2" s="185" customFormat="1" ht="15">
      <c r="A275" s="163"/>
      <c r="B275" s="163"/>
    </row>
    <row r="276" spans="1:2" s="185" customFormat="1" ht="15">
      <c r="A276" s="163"/>
      <c r="B276" s="163"/>
    </row>
    <row r="277" spans="1:2" s="185" customFormat="1" ht="15">
      <c r="A277" s="163"/>
      <c r="B277" s="163"/>
    </row>
    <row r="278" spans="1:2" s="185" customFormat="1" ht="15">
      <c r="A278" s="163"/>
      <c r="B278" s="163"/>
    </row>
    <row r="279" spans="1:2" s="185" customFormat="1" ht="15">
      <c r="A279" s="163"/>
      <c r="B279" s="163"/>
    </row>
    <row r="280" spans="1:2" s="185" customFormat="1" ht="15">
      <c r="A280" s="163"/>
      <c r="B280" s="163"/>
    </row>
    <row r="281" spans="1:2" s="185" customFormat="1" ht="15">
      <c r="A281" s="163"/>
      <c r="B281" s="163"/>
    </row>
    <row r="282" spans="1:2" s="185" customFormat="1" ht="15">
      <c r="A282" s="163"/>
      <c r="B282" s="163"/>
    </row>
    <row r="283" spans="1:2" s="185" customFormat="1" ht="15">
      <c r="A283" s="163"/>
      <c r="B283" s="163"/>
    </row>
    <row r="284" spans="1:2" s="185" customFormat="1" ht="15">
      <c r="A284" s="163"/>
      <c r="B284" s="163"/>
    </row>
    <row r="285" spans="1:2" s="185" customFormat="1" ht="15">
      <c r="A285" s="163"/>
      <c r="B285" s="163"/>
    </row>
    <row r="286" spans="1:2" s="185" customFormat="1" ht="15">
      <c r="A286" s="163"/>
      <c r="B286" s="163"/>
    </row>
    <row r="287" spans="1:2" s="185" customFormat="1" ht="15">
      <c r="A287" s="163"/>
      <c r="B287" s="163"/>
    </row>
    <row r="288" spans="1:2" s="185" customFormat="1" ht="15">
      <c r="A288" s="163"/>
      <c r="B288" s="163"/>
    </row>
    <row r="289" spans="1:2" s="185" customFormat="1" ht="15">
      <c r="A289" s="163"/>
      <c r="B289" s="163"/>
    </row>
    <row r="290" spans="1:2" s="185" customFormat="1" ht="15">
      <c r="A290" s="163"/>
      <c r="B290" s="163"/>
    </row>
    <row r="291" spans="1:2" s="185" customFormat="1" ht="15">
      <c r="A291" s="163"/>
      <c r="B291" s="163"/>
    </row>
    <row r="292" spans="1:2" s="185" customFormat="1" ht="15">
      <c r="A292" s="163"/>
      <c r="B292" s="163"/>
    </row>
    <row r="293" spans="1:2" s="185" customFormat="1" ht="15">
      <c r="A293" s="163"/>
      <c r="B293" s="163"/>
    </row>
    <row r="294" spans="1:2" s="185" customFormat="1" ht="15">
      <c r="A294" s="163"/>
      <c r="B294" s="163"/>
    </row>
    <row r="295" spans="1:2" s="185" customFormat="1" ht="15">
      <c r="A295" s="163"/>
      <c r="B295" s="163"/>
    </row>
    <row r="296" spans="1:2" s="185" customFormat="1" ht="15">
      <c r="A296" s="163"/>
      <c r="B296" s="163"/>
    </row>
    <row r="297" spans="1:2" s="185" customFormat="1" ht="15">
      <c r="A297" s="163"/>
      <c r="B297" s="163"/>
    </row>
    <row r="298" spans="1:2" s="185" customFormat="1" ht="15">
      <c r="A298" s="163"/>
      <c r="B298" s="163"/>
    </row>
    <row r="299" spans="1:2" s="185" customFormat="1" ht="15">
      <c r="A299" s="163"/>
      <c r="B299" s="163"/>
    </row>
    <row r="300" spans="1:2" s="185" customFormat="1" ht="15">
      <c r="A300" s="163"/>
      <c r="B300" s="163"/>
    </row>
    <row r="301" spans="1:2" s="185" customFormat="1" ht="15">
      <c r="A301" s="163"/>
      <c r="B301" s="163"/>
    </row>
    <row r="302" spans="1:2" s="185" customFormat="1" ht="15">
      <c r="A302" s="163"/>
      <c r="B302" s="163"/>
    </row>
    <row r="303" spans="1:2" s="185" customFormat="1" ht="15">
      <c r="A303" s="163"/>
      <c r="B303" s="163"/>
    </row>
    <row r="304" spans="1:2" s="185" customFormat="1" ht="15">
      <c r="A304" s="163"/>
      <c r="B304" s="163"/>
    </row>
    <row r="305" spans="1:2" s="185" customFormat="1" ht="15">
      <c r="A305" s="163"/>
      <c r="B305" s="163"/>
    </row>
    <row r="306" spans="1:2" s="185" customFormat="1" ht="15">
      <c r="A306" s="163"/>
      <c r="B306" s="163"/>
    </row>
    <row r="307" spans="1:2" s="185" customFormat="1" ht="15">
      <c r="A307" s="163"/>
      <c r="B307" s="163"/>
    </row>
    <row r="308" spans="1:2" s="185" customFormat="1" ht="15">
      <c r="A308" s="163"/>
      <c r="B308" s="163"/>
    </row>
    <row r="309" spans="1:2" s="185" customFormat="1" ht="15">
      <c r="A309" s="163"/>
      <c r="B309" s="163"/>
    </row>
    <row r="310" spans="1:2" s="185" customFormat="1" ht="15">
      <c r="A310" s="163"/>
      <c r="B310" s="163"/>
    </row>
    <row r="311" spans="1:2" s="185" customFormat="1" ht="15">
      <c r="A311" s="163"/>
      <c r="B311" s="163"/>
    </row>
    <row r="312" spans="1:2" s="185" customFormat="1" ht="15">
      <c r="A312" s="163"/>
      <c r="B312" s="163"/>
    </row>
    <row r="313" spans="1:2" s="185" customFormat="1" ht="15">
      <c r="A313" s="163"/>
      <c r="B313" s="163"/>
    </row>
    <row r="314" spans="1:2" s="185" customFormat="1" ht="15">
      <c r="A314" s="163"/>
      <c r="B314" s="163"/>
    </row>
    <row r="315" spans="1:2" s="185" customFormat="1" ht="15">
      <c r="A315" s="163"/>
      <c r="B315" s="163"/>
    </row>
    <row r="316" spans="1:2" s="185" customFormat="1" ht="15">
      <c r="A316" s="163"/>
      <c r="B316" s="163"/>
    </row>
  </sheetData>
  <sheetProtection/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15"/>
  <sheetViews>
    <sheetView showZeros="0" view="pageBreakPreview" zoomScale="75" zoomScaleSheetLayoutView="75" zoomScalePageLayoutView="0" workbookViewId="0" topLeftCell="A1">
      <selection activeCell="A5" sqref="A5:U6"/>
    </sheetView>
  </sheetViews>
  <sheetFormatPr defaultColWidth="9.00390625" defaultRowHeight="12.75"/>
  <cols>
    <col min="1" max="1" width="35.75390625" style="163" customWidth="1"/>
    <col min="2" max="2" width="10.125" style="163" customWidth="1"/>
    <col min="3" max="3" width="10.75390625" style="0" customWidth="1"/>
    <col min="4" max="4" width="6.00390625" style="0" hidden="1" customWidth="1"/>
    <col min="5" max="5" width="8.25390625" style="0" customWidth="1"/>
    <col min="6" max="6" width="8.875" style="0" customWidth="1"/>
    <col min="7" max="7" width="8.00390625" style="0" customWidth="1"/>
    <col min="8" max="8" width="8.875" style="0" customWidth="1"/>
    <col min="9" max="12" width="9.00390625" style="0" customWidth="1"/>
    <col min="13" max="13" width="9.00390625" style="0" hidden="1" customWidth="1"/>
    <col min="14" max="15" width="10.125" style="0" hidden="1" customWidth="1"/>
    <col min="16" max="16" width="7.875" style="0" hidden="1" customWidth="1"/>
    <col min="17" max="17" width="10.25390625" style="0" customWidth="1"/>
    <col min="18" max="18" width="8.875" style="0" customWidth="1"/>
    <col min="19" max="19" width="9.75390625" style="0" customWidth="1"/>
    <col min="20" max="20" width="8.875" style="0" customWidth="1"/>
  </cols>
  <sheetData>
    <row r="1" spans="1:20" s="136" customFormat="1" ht="18.75">
      <c r="A1" s="12"/>
      <c r="B1" s="12"/>
      <c r="P1" s="96" t="s">
        <v>512</v>
      </c>
      <c r="Q1" s="96" t="s">
        <v>587</v>
      </c>
      <c r="R1" s="96"/>
      <c r="S1" s="584"/>
      <c r="T1" s="162"/>
    </row>
    <row r="2" spans="1:20" s="136" customFormat="1" ht="15.75" customHeight="1">
      <c r="A2" s="12"/>
      <c r="B2" s="12"/>
      <c r="P2" s="96" t="s">
        <v>546</v>
      </c>
      <c r="Q2" s="96" t="s">
        <v>546</v>
      </c>
      <c r="R2" s="96"/>
      <c r="S2" s="584"/>
      <c r="T2" s="162"/>
    </row>
    <row r="3" spans="1:20" s="136" customFormat="1" ht="18.75">
      <c r="A3" s="12"/>
      <c r="B3" s="12"/>
      <c r="P3" s="96" t="s">
        <v>433</v>
      </c>
      <c r="Q3" s="96" t="s">
        <v>1225</v>
      </c>
      <c r="R3" s="96"/>
      <c r="S3" s="584"/>
      <c r="T3" s="162"/>
    </row>
    <row r="4" spans="1:20" s="136" customFormat="1" ht="18.75">
      <c r="A4" s="12"/>
      <c r="B4" s="12"/>
      <c r="P4" s="585"/>
      <c r="Q4" s="696" t="s">
        <v>1281</v>
      </c>
      <c r="R4" s="585"/>
      <c r="S4" s="584"/>
      <c r="T4" s="162"/>
    </row>
    <row r="5" spans="1:21" s="136" customFormat="1" ht="15">
      <c r="A5" s="1145" t="s">
        <v>1187</v>
      </c>
      <c r="B5" s="1145"/>
      <c r="C5" s="1145"/>
      <c r="D5" s="1145"/>
      <c r="E5" s="1145"/>
      <c r="F5" s="1145"/>
      <c r="G5" s="1145"/>
      <c r="H5" s="1145"/>
      <c r="I5" s="1145"/>
      <c r="J5" s="1145"/>
      <c r="K5" s="1145"/>
      <c r="L5" s="1145"/>
      <c r="M5" s="1145"/>
      <c r="N5" s="1145"/>
      <c r="O5" s="1145"/>
      <c r="P5" s="1145"/>
      <c r="Q5" s="1145"/>
      <c r="R5" s="1145"/>
      <c r="S5" s="1145"/>
      <c r="T5" s="1145"/>
      <c r="U5" s="1145"/>
    </row>
    <row r="6" spans="1:21" s="136" customFormat="1" ht="15.75" customHeight="1">
      <c r="A6" s="1145"/>
      <c r="B6" s="1145"/>
      <c r="C6" s="1145"/>
      <c r="D6" s="1145"/>
      <c r="E6" s="1145"/>
      <c r="F6" s="1145"/>
      <c r="G6" s="1145"/>
      <c r="H6" s="1145"/>
      <c r="I6" s="1145"/>
      <c r="J6" s="1145"/>
      <c r="K6" s="1145"/>
      <c r="L6" s="1145"/>
      <c r="M6" s="1145"/>
      <c r="N6" s="1145"/>
      <c r="O6" s="1145"/>
      <c r="P6" s="1145"/>
      <c r="Q6" s="1145"/>
      <c r="R6" s="1145"/>
      <c r="S6" s="1145"/>
      <c r="T6" s="1145"/>
      <c r="U6" s="1145"/>
    </row>
    <row r="7" spans="1:3" s="136" customFormat="1" ht="15">
      <c r="A7" s="12"/>
      <c r="B7" s="12"/>
      <c r="C7" s="136" t="s">
        <v>1275</v>
      </c>
    </row>
    <row r="8" spans="1:21" s="136" customFormat="1" ht="15.75">
      <c r="A8" s="12"/>
      <c r="B8" s="12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</row>
    <row r="9" spans="1:21" s="185" customFormat="1" ht="15.75">
      <c r="A9" s="167"/>
      <c r="B9" s="167">
        <v>210</v>
      </c>
      <c r="C9" s="166">
        <v>211</v>
      </c>
      <c r="D9" s="166">
        <v>212</v>
      </c>
      <c r="E9" s="166">
        <v>213</v>
      </c>
      <c r="F9" s="235">
        <v>220</v>
      </c>
      <c r="G9" s="166">
        <v>221</v>
      </c>
      <c r="H9" s="166">
        <v>222</v>
      </c>
      <c r="I9" s="166">
        <v>223</v>
      </c>
      <c r="J9" s="166">
        <v>224</v>
      </c>
      <c r="K9" s="166">
        <v>225</v>
      </c>
      <c r="L9" s="166">
        <v>226</v>
      </c>
      <c r="M9" s="167">
        <v>240</v>
      </c>
      <c r="N9" s="166">
        <v>241</v>
      </c>
      <c r="O9" s="166">
        <v>242</v>
      </c>
      <c r="P9" s="167">
        <v>262</v>
      </c>
      <c r="Q9" s="235">
        <v>290</v>
      </c>
      <c r="R9" s="236">
        <v>300</v>
      </c>
      <c r="S9" s="166">
        <v>310</v>
      </c>
      <c r="T9" s="166">
        <v>340</v>
      </c>
      <c r="U9" s="166"/>
    </row>
    <row r="10" spans="1:21" s="239" customFormat="1" ht="87" customHeight="1">
      <c r="A10" s="167"/>
      <c r="B10" s="237" t="s">
        <v>128</v>
      </c>
      <c r="C10" s="238" t="s">
        <v>727</v>
      </c>
      <c r="D10" s="238" t="s">
        <v>130</v>
      </c>
      <c r="E10" s="238" t="s">
        <v>728</v>
      </c>
      <c r="F10" s="237" t="s">
        <v>734</v>
      </c>
      <c r="G10" s="238" t="s">
        <v>132</v>
      </c>
      <c r="H10" s="238" t="s">
        <v>133</v>
      </c>
      <c r="I10" s="238" t="s">
        <v>134</v>
      </c>
      <c r="J10" s="238" t="s">
        <v>135</v>
      </c>
      <c r="K10" s="238" t="s">
        <v>735</v>
      </c>
      <c r="L10" s="238" t="s">
        <v>736</v>
      </c>
      <c r="M10" s="238" t="s">
        <v>226</v>
      </c>
      <c r="N10" s="238" t="s">
        <v>227</v>
      </c>
      <c r="O10" s="238" t="s">
        <v>228</v>
      </c>
      <c r="P10" s="238" t="s">
        <v>229</v>
      </c>
      <c r="Q10" s="238" t="s">
        <v>140</v>
      </c>
      <c r="R10" s="237" t="s">
        <v>141</v>
      </c>
      <c r="S10" s="238" t="s">
        <v>142</v>
      </c>
      <c r="T10" s="238" t="s">
        <v>143</v>
      </c>
      <c r="U10" s="238" t="s">
        <v>634</v>
      </c>
    </row>
    <row r="11" spans="1:21" s="162" customFormat="1" ht="15.75">
      <c r="A11" s="167" t="s">
        <v>1225</v>
      </c>
      <c r="B11" s="240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40"/>
      <c r="S11" s="205"/>
      <c r="T11" s="205"/>
      <c r="U11" s="241"/>
    </row>
    <row r="12" spans="1:21" s="162" customFormat="1" ht="15.75">
      <c r="A12" s="167" t="s">
        <v>513</v>
      </c>
      <c r="B12" s="240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40"/>
      <c r="S12" s="205"/>
      <c r="T12" s="205"/>
      <c r="U12" s="241"/>
    </row>
    <row r="13" spans="1:21" s="162" customFormat="1" ht="60">
      <c r="A13" s="374" t="s">
        <v>1276</v>
      </c>
      <c r="B13" s="246"/>
      <c r="C13" s="246">
        <v>12.564</v>
      </c>
      <c r="D13" s="246" t="e">
        <f>'[1]свод предпрен'!D12</f>
        <v>#REF!</v>
      </c>
      <c r="E13" s="246">
        <v>5.436</v>
      </c>
      <c r="F13" s="246"/>
      <c r="G13" s="667"/>
      <c r="H13" s="667"/>
      <c r="I13" s="667"/>
      <c r="J13" s="667"/>
      <c r="K13" s="667"/>
      <c r="L13" s="667"/>
      <c r="M13" s="667">
        <f>'[1]свод предпрен'!M12</f>
        <v>0</v>
      </c>
      <c r="N13" s="667" t="e">
        <f>'[1]свод предпрен'!N12</f>
        <v>#REF!</v>
      </c>
      <c r="O13" s="667" t="e">
        <f>'[1]свод предпрен'!O12</f>
        <v>#REF!</v>
      </c>
      <c r="P13" s="667"/>
      <c r="Q13" s="667"/>
      <c r="R13" s="667"/>
      <c r="S13" s="667"/>
      <c r="T13" s="667">
        <v>2</v>
      </c>
      <c r="U13" s="1129">
        <v>20</v>
      </c>
    </row>
    <row r="14" spans="1:22" s="244" customFormat="1" ht="16.5" customHeight="1">
      <c r="A14" s="242" t="s">
        <v>235</v>
      </c>
      <c r="B14" s="228">
        <f>SUM(B13)</f>
        <v>0</v>
      </c>
      <c r="C14" s="1128">
        <v>12.564</v>
      </c>
      <c r="D14" s="228" t="e">
        <f aca="true" t="shared" si="0" ref="D14:T14">SUM(D13)</f>
        <v>#REF!</v>
      </c>
      <c r="E14" s="1128">
        <v>5.436</v>
      </c>
      <c r="F14" s="228">
        <f t="shared" si="0"/>
        <v>0</v>
      </c>
      <c r="G14" s="668">
        <f t="shared" si="0"/>
        <v>0</v>
      </c>
      <c r="H14" s="668">
        <f t="shared" si="0"/>
        <v>0</v>
      </c>
      <c r="I14" s="668">
        <f t="shared" si="0"/>
        <v>0</v>
      </c>
      <c r="J14" s="668">
        <f t="shared" si="0"/>
        <v>0</v>
      </c>
      <c r="K14" s="668">
        <f t="shared" si="0"/>
        <v>0</v>
      </c>
      <c r="L14" s="668">
        <f t="shared" si="0"/>
        <v>0</v>
      </c>
      <c r="M14" s="668">
        <f t="shared" si="0"/>
        <v>0</v>
      </c>
      <c r="N14" s="668" t="e">
        <f t="shared" si="0"/>
        <v>#REF!</v>
      </c>
      <c r="O14" s="668" t="e">
        <f t="shared" si="0"/>
        <v>#REF!</v>
      </c>
      <c r="P14" s="668">
        <f t="shared" si="0"/>
        <v>0</v>
      </c>
      <c r="Q14" s="668">
        <f t="shared" si="0"/>
        <v>0</v>
      </c>
      <c r="R14" s="668">
        <f t="shared" si="0"/>
        <v>0</v>
      </c>
      <c r="S14" s="668">
        <f t="shared" si="0"/>
        <v>0</v>
      </c>
      <c r="T14" s="668">
        <f t="shared" si="0"/>
        <v>2</v>
      </c>
      <c r="U14" s="1129">
        <v>20</v>
      </c>
      <c r="V14" s="243"/>
    </row>
    <row r="15" spans="1:21" s="185" customFormat="1" ht="15">
      <c r="A15" s="163"/>
      <c r="B15" s="163"/>
      <c r="U15" s="245"/>
    </row>
    <row r="16" spans="1:5" s="185" customFormat="1" ht="15">
      <c r="A16" s="163"/>
      <c r="B16" s="163"/>
      <c r="C16" s="185" t="s">
        <v>687</v>
      </c>
      <c r="E16" s="163"/>
    </row>
    <row r="17" spans="1:2" s="185" customFormat="1" ht="15">
      <c r="A17" s="163"/>
      <c r="B17" s="163"/>
    </row>
    <row r="18" spans="1:2" s="185" customFormat="1" ht="15">
      <c r="A18" s="163"/>
      <c r="B18" s="163"/>
    </row>
    <row r="19" spans="1:2" s="185" customFormat="1" ht="15">
      <c r="A19" s="163"/>
      <c r="B19" s="163"/>
    </row>
    <row r="20" spans="1:2" s="185" customFormat="1" ht="15">
      <c r="A20" s="163"/>
      <c r="B20" s="163"/>
    </row>
    <row r="21" spans="1:2" s="185" customFormat="1" ht="15">
      <c r="A21" s="163"/>
      <c r="B21" s="163"/>
    </row>
    <row r="22" spans="1:2" s="185" customFormat="1" ht="15">
      <c r="A22" s="163"/>
      <c r="B22" s="163"/>
    </row>
    <row r="23" spans="1:2" s="185" customFormat="1" ht="15">
      <c r="A23" s="163"/>
      <c r="B23" s="163"/>
    </row>
    <row r="24" spans="1:2" s="185" customFormat="1" ht="15">
      <c r="A24" s="163"/>
      <c r="B24" s="163"/>
    </row>
    <row r="25" spans="1:2" s="185" customFormat="1" ht="15">
      <c r="A25" s="163"/>
      <c r="B25" s="163"/>
    </row>
    <row r="26" spans="1:2" s="185" customFormat="1" ht="15">
      <c r="A26" s="163"/>
      <c r="B26" s="163"/>
    </row>
    <row r="27" spans="1:2" s="185" customFormat="1" ht="15" hidden="1">
      <c r="A27" s="163"/>
      <c r="B27" s="163"/>
    </row>
    <row r="28" spans="1:2" s="185" customFormat="1" ht="15">
      <c r="A28" s="163"/>
      <c r="B28" s="163"/>
    </row>
    <row r="29" spans="1:2" s="185" customFormat="1" ht="15">
      <c r="A29" s="163"/>
      <c r="B29" s="163"/>
    </row>
    <row r="30" spans="1:2" s="185" customFormat="1" ht="15">
      <c r="A30" s="163"/>
      <c r="B30" s="163"/>
    </row>
    <row r="31" spans="1:2" s="185" customFormat="1" ht="15">
      <c r="A31" s="163"/>
      <c r="B31" s="163"/>
    </row>
    <row r="32" spans="1:2" s="185" customFormat="1" ht="15">
      <c r="A32" s="163"/>
      <c r="B32" s="163"/>
    </row>
    <row r="33" spans="1:2" s="185" customFormat="1" ht="15">
      <c r="A33" s="163"/>
      <c r="B33" s="163"/>
    </row>
    <row r="34" spans="1:2" s="185" customFormat="1" ht="15">
      <c r="A34" s="163"/>
      <c r="B34" s="163"/>
    </row>
    <row r="35" spans="1:2" s="185" customFormat="1" ht="15">
      <c r="A35" s="163"/>
      <c r="B35" s="163"/>
    </row>
    <row r="36" spans="1:2" s="185" customFormat="1" ht="15">
      <c r="A36" s="163"/>
      <c r="B36" s="163"/>
    </row>
    <row r="37" spans="1:2" s="185" customFormat="1" ht="15">
      <c r="A37" s="163"/>
      <c r="B37" s="163"/>
    </row>
    <row r="38" spans="1:2" s="185" customFormat="1" ht="15">
      <c r="A38" s="163"/>
      <c r="B38" s="163"/>
    </row>
    <row r="39" spans="1:2" s="185" customFormat="1" ht="15">
      <c r="A39" s="163"/>
      <c r="B39" s="163"/>
    </row>
    <row r="40" spans="1:2" s="185" customFormat="1" ht="15">
      <c r="A40" s="163"/>
      <c r="B40" s="163"/>
    </row>
    <row r="41" spans="1:2" s="185" customFormat="1" ht="15">
      <c r="A41" s="163"/>
      <c r="B41" s="163"/>
    </row>
    <row r="42" spans="1:2" s="185" customFormat="1" ht="15">
      <c r="A42" s="163"/>
      <c r="B42" s="163"/>
    </row>
    <row r="43" spans="1:2" s="185" customFormat="1" ht="15">
      <c r="A43" s="163"/>
      <c r="B43" s="163"/>
    </row>
    <row r="44" spans="1:2" s="185" customFormat="1" ht="15">
      <c r="A44" s="163"/>
      <c r="B44" s="163"/>
    </row>
    <row r="45" spans="1:2" s="185" customFormat="1" ht="15">
      <c r="A45" s="163"/>
      <c r="B45" s="163"/>
    </row>
    <row r="46" spans="1:2" s="185" customFormat="1" ht="15">
      <c r="A46" s="163"/>
      <c r="B46" s="163"/>
    </row>
    <row r="47" spans="1:2" s="185" customFormat="1" ht="15">
      <c r="A47" s="163"/>
      <c r="B47" s="163"/>
    </row>
    <row r="48" spans="1:2" s="185" customFormat="1" ht="15">
      <c r="A48" s="163"/>
      <c r="B48" s="163"/>
    </row>
    <row r="49" spans="1:2" s="185" customFormat="1" ht="15">
      <c r="A49" s="163"/>
      <c r="B49" s="163"/>
    </row>
    <row r="50" spans="1:2" s="185" customFormat="1" ht="15">
      <c r="A50" s="163"/>
      <c r="B50" s="163"/>
    </row>
    <row r="51" spans="1:2" s="185" customFormat="1" ht="15">
      <c r="A51" s="163"/>
      <c r="B51" s="163"/>
    </row>
    <row r="52" spans="1:2" s="185" customFormat="1" ht="15">
      <c r="A52" s="163"/>
      <c r="B52" s="163"/>
    </row>
    <row r="53" spans="1:2" s="185" customFormat="1" ht="15">
      <c r="A53" s="163"/>
      <c r="B53" s="163"/>
    </row>
    <row r="54" spans="1:2" s="185" customFormat="1" ht="15">
      <c r="A54" s="163"/>
      <c r="B54" s="163"/>
    </row>
    <row r="55" spans="1:2" s="185" customFormat="1" ht="15">
      <c r="A55" s="163"/>
      <c r="B55" s="163"/>
    </row>
    <row r="56" spans="1:2" s="185" customFormat="1" ht="15">
      <c r="A56" s="163"/>
      <c r="B56" s="163"/>
    </row>
    <row r="57" spans="1:2" s="185" customFormat="1" ht="15">
      <c r="A57" s="163"/>
      <c r="B57" s="163"/>
    </row>
    <row r="58" spans="1:2" s="185" customFormat="1" ht="15">
      <c r="A58" s="163"/>
      <c r="B58" s="163"/>
    </row>
    <row r="59" spans="1:2" s="185" customFormat="1" ht="15">
      <c r="A59" s="163"/>
      <c r="B59" s="163"/>
    </row>
    <row r="60" spans="1:2" s="185" customFormat="1" ht="15">
      <c r="A60" s="163"/>
      <c r="B60" s="163"/>
    </row>
    <row r="61" spans="1:2" s="185" customFormat="1" ht="15">
      <c r="A61" s="163"/>
      <c r="B61" s="163"/>
    </row>
    <row r="62" spans="1:2" s="185" customFormat="1" ht="15">
      <c r="A62" s="163"/>
      <c r="B62" s="163"/>
    </row>
    <row r="63" spans="1:2" s="185" customFormat="1" ht="15">
      <c r="A63" s="163"/>
      <c r="B63" s="163"/>
    </row>
    <row r="64" spans="1:2" s="185" customFormat="1" ht="15">
      <c r="A64" s="163"/>
      <c r="B64" s="163"/>
    </row>
    <row r="65" spans="1:2" s="185" customFormat="1" ht="15">
      <c r="A65" s="163"/>
      <c r="B65" s="163"/>
    </row>
    <row r="66" spans="1:2" s="185" customFormat="1" ht="15">
      <c r="A66" s="163"/>
      <c r="B66" s="163"/>
    </row>
    <row r="67" spans="1:2" s="185" customFormat="1" ht="15">
      <c r="A67" s="163"/>
      <c r="B67" s="163"/>
    </row>
    <row r="68" spans="1:2" s="185" customFormat="1" ht="15">
      <c r="A68" s="163"/>
      <c r="B68" s="163"/>
    </row>
    <row r="69" spans="1:2" s="185" customFormat="1" ht="15">
      <c r="A69" s="163"/>
      <c r="B69" s="163"/>
    </row>
    <row r="70" spans="1:2" s="185" customFormat="1" ht="15">
      <c r="A70" s="163"/>
      <c r="B70" s="163"/>
    </row>
    <row r="71" spans="1:2" s="185" customFormat="1" ht="15">
      <c r="A71" s="163"/>
      <c r="B71" s="163"/>
    </row>
    <row r="72" spans="1:2" s="185" customFormat="1" ht="15">
      <c r="A72" s="163"/>
      <c r="B72" s="163"/>
    </row>
    <row r="73" spans="1:2" s="185" customFormat="1" ht="15">
      <c r="A73" s="163"/>
      <c r="B73" s="163"/>
    </row>
    <row r="74" spans="1:2" s="185" customFormat="1" ht="15">
      <c r="A74" s="163"/>
      <c r="B74" s="163"/>
    </row>
    <row r="75" spans="1:2" s="185" customFormat="1" ht="15">
      <c r="A75" s="163"/>
      <c r="B75" s="163"/>
    </row>
    <row r="76" spans="1:2" s="185" customFormat="1" ht="15">
      <c r="A76" s="163"/>
      <c r="B76" s="163"/>
    </row>
    <row r="77" spans="1:2" s="185" customFormat="1" ht="15">
      <c r="A77" s="163"/>
      <c r="B77" s="163"/>
    </row>
    <row r="78" spans="1:2" s="185" customFormat="1" ht="15">
      <c r="A78" s="163"/>
      <c r="B78" s="163"/>
    </row>
    <row r="79" spans="1:2" s="185" customFormat="1" ht="15">
      <c r="A79" s="163"/>
      <c r="B79" s="163"/>
    </row>
    <row r="80" spans="1:2" s="185" customFormat="1" ht="15">
      <c r="A80" s="163"/>
      <c r="B80" s="163"/>
    </row>
    <row r="81" spans="1:2" s="185" customFormat="1" ht="15">
      <c r="A81" s="163"/>
      <c r="B81" s="163"/>
    </row>
    <row r="82" spans="1:2" s="185" customFormat="1" ht="15">
      <c r="A82" s="163"/>
      <c r="B82" s="163"/>
    </row>
    <row r="83" spans="1:2" s="185" customFormat="1" ht="15">
      <c r="A83" s="163"/>
      <c r="B83" s="163"/>
    </row>
    <row r="84" spans="1:2" s="185" customFormat="1" ht="15">
      <c r="A84" s="163"/>
      <c r="B84" s="163"/>
    </row>
    <row r="85" spans="1:2" s="185" customFormat="1" ht="15">
      <c r="A85" s="163"/>
      <c r="B85" s="163"/>
    </row>
    <row r="86" spans="1:2" s="185" customFormat="1" ht="15">
      <c r="A86" s="163"/>
      <c r="B86" s="163"/>
    </row>
    <row r="87" spans="1:2" s="185" customFormat="1" ht="15">
      <c r="A87" s="163"/>
      <c r="B87" s="163"/>
    </row>
    <row r="88" spans="1:2" s="185" customFormat="1" ht="15">
      <c r="A88" s="163"/>
      <c r="B88" s="163"/>
    </row>
    <row r="89" spans="1:2" s="185" customFormat="1" ht="15">
      <c r="A89" s="163"/>
      <c r="B89" s="163"/>
    </row>
    <row r="90" spans="1:2" s="185" customFormat="1" ht="15">
      <c r="A90" s="163"/>
      <c r="B90" s="163"/>
    </row>
    <row r="91" spans="1:2" s="185" customFormat="1" ht="15">
      <c r="A91" s="163"/>
      <c r="B91" s="163"/>
    </row>
    <row r="92" spans="1:2" s="185" customFormat="1" ht="15">
      <c r="A92" s="163"/>
      <c r="B92" s="163"/>
    </row>
    <row r="93" spans="1:2" s="185" customFormat="1" ht="15">
      <c r="A93" s="163"/>
      <c r="B93" s="163"/>
    </row>
    <row r="94" spans="1:2" s="185" customFormat="1" ht="15">
      <c r="A94" s="163"/>
      <c r="B94" s="163"/>
    </row>
    <row r="95" spans="1:2" s="185" customFormat="1" ht="15">
      <c r="A95" s="163"/>
      <c r="B95" s="163"/>
    </row>
    <row r="96" spans="1:2" s="185" customFormat="1" ht="15">
      <c r="A96" s="163"/>
      <c r="B96" s="163"/>
    </row>
    <row r="97" spans="1:2" s="185" customFormat="1" ht="15">
      <c r="A97" s="163"/>
      <c r="B97" s="163"/>
    </row>
    <row r="98" spans="1:2" s="185" customFormat="1" ht="15">
      <c r="A98" s="163"/>
      <c r="B98" s="163"/>
    </row>
    <row r="99" spans="1:2" s="185" customFormat="1" ht="15">
      <c r="A99" s="163"/>
      <c r="B99" s="163"/>
    </row>
    <row r="100" spans="1:2" s="185" customFormat="1" ht="15">
      <c r="A100" s="163"/>
      <c r="B100" s="163"/>
    </row>
    <row r="101" spans="1:2" s="185" customFormat="1" ht="15">
      <c r="A101" s="163"/>
      <c r="B101" s="163"/>
    </row>
    <row r="102" spans="1:2" s="185" customFormat="1" ht="15">
      <c r="A102" s="163"/>
      <c r="B102" s="163"/>
    </row>
    <row r="103" spans="1:2" s="185" customFormat="1" ht="15">
      <c r="A103" s="163"/>
      <c r="B103" s="163"/>
    </row>
    <row r="104" spans="1:2" s="185" customFormat="1" ht="15">
      <c r="A104" s="163"/>
      <c r="B104" s="163"/>
    </row>
    <row r="105" spans="1:2" s="185" customFormat="1" ht="15">
      <c r="A105" s="163"/>
      <c r="B105" s="163"/>
    </row>
    <row r="106" spans="1:2" s="185" customFormat="1" ht="15">
      <c r="A106" s="163"/>
      <c r="B106" s="163"/>
    </row>
    <row r="107" spans="1:2" s="185" customFormat="1" ht="15">
      <c r="A107" s="163"/>
      <c r="B107" s="163"/>
    </row>
    <row r="108" spans="1:2" s="185" customFormat="1" ht="15">
      <c r="A108" s="163"/>
      <c r="B108" s="163"/>
    </row>
    <row r="109" spans="1:2" s="185" customFormat="1" ht="15">
      <c r="A109" s="163"/>
      <c r="B109" s="163"/>
    </row>
    <row r="110" spans="1:2" s="185" customFormat="1" ht="15">
      <c r="A110" s="163"/>
      <c r="B110" s="163"/>
    </row>
    <row r="111" spans="1:2" s="185" customFormat="1" ht="15">
      <c r="A111" s="163"/>
      <c r="B111" s="163"/>
    </row>
    <row r="112" spans="1:2" s="185" customFormat="1" ht="15">
      <c r="A112" s="163"/>
      <c r="B112" s="163"/>
    </row>
    <row r="113" spans="1:2" s="185" customFormat="1" ht="15">
      <c r="A113" s="163"/>
      <c r="B113" s="163"/>
    </row>
    <row r="114" spans="1:2" s="185" customFormat="1" ht="15">
      <c r="A114" s="163"/>
      <c r="B114" s="163"/>
    </row>
    <row r="115" spans="1:2" s="185" customFormat="1" ht="15">
      <c r="A115" s="163"/>
      <c r="B115" s="163"/>
    </row>
    <row r="116" spans="1:2" s="185" customFormat="1" ht="15">
      <c r="A116" s="163"/>
      <c r="B116" s="163"/>
    </row>
    <row r="117" spans="1:2" s="185" customFormat="1" ht="15">
      <c r="A117" s="163"/>
      <c r="B117" s="163"/>
    </row>
    <row r="118" spans="1:2" s="185" customFormat="1" ht="15">
      <c r="A118" s="163"/>
      <c r="B118" s="163"/>
    </row>
    <row r="119" spans="1:2" s="185" customFormat="1" ht="15">
      <c r="A119" s="163"/>
      <c r="B119" s="163"/>
    </row>
    <row r="120" spans="1:2" s="185" customFormat="1" ht="15">
      <c r="A120" s="163"/>
      <c r="B120" s="163"/>
    </row>
    <row r="121" spans="1:2" s="185" customFormat="1" ht="15">
      <c r="A121" s="163"/>
      <c r="B121" s="163"/>
    </row>
    <row r="122" spans="1:2" s="185" customFormat="1" ht="15">
      <c r="A122" s="163"/>
      <c r="B122" s="163"/>
    </row>
    <row r="123" spans="1:2" s="185" customFormat="1" ht="15">
      <c r="A123" s="163"/>
      <c r="B123" s="163"/>
    </row>
    <row r="124" spans="1:2" s="185" customFormat="1" ht="15">
      <c r="A124" s="163"/>
      <c r="B124" s="163"/>
    </row>
    <row r="125" spans="1:2" s="185" customFormat="1" ht="15">
      <c r="A125" s="163"/>
      <c r="B125" s="163"/>
    </row>
    <row r="126" spans="1:2" s="185" customFormat="1" ht="15">
      <c r="A126" s="163"/>
      <c r="B126" s="163"/>
    </row>
    <row r="127" spans="1:2" s="185" customFormat="1" ht="15">
      <c r="A127" s="163"/>
      <c r="B127" s="163"/>
    </row>
    <row r="128" spans="1:2" s="185" customFormat="1" ht="15">
      <c r="A128" s="163"/>
      <c r="B128" s="163"/>
    </row>
    <row r="129" spans="1:2" s="185" customFormat="1" ht="15">
      <c r="A129" s="163"/>
      <c r="B129" s="163"/>
    </row>
    <row r="130" spans="1:2" s="185" customFormat="1" ht="15">
      <c r="A130" s="163"/>
      <c r="B130" s="163"/>
    </row>
    <row r="131" spans="1:2" s="185" customFormat="1" ht="15">
      <c r="A131" s="163"/>
      <c r="B131" s="163"/>
    </row>
    <row r="132" spans="1:2" s="185" customFormat="1" ht="15">
      <c r="A132" s="163"/>
      <c r="B132" s="163"/>
    </row>
    <row r="133" spans="1:2" s="185" customFormat="1" ht="15">
      <c r="A133" s="163"/>
      <c r="B133" s="163"/>
    </row>
    <row r="134" spans="1:2" s="185" customFormat="1" ht="15">
      <c r="A134" s="163"/>
      <c r="B134" s="163"/>
    </row>
    <row r="135" spans="1:2" s="185" customFormat="1" ht="15">
      <c r="A135" s="163"/>
      <c r="B135" s="163"/>
    </row>
    <row r="136" spans="1:2" s="185" customFormat="1" ht="15">
      <c r="A136" s="163"/>
      <c r="B136" s="163"/>
    </row>
    <row r="137" spans="1:2" s="185" customFormat="1" ht="15">
      <c r="A137" s="163"/>
      <c r="B137" s="163"/>
    </row>
    <row r="138" spans="1:2" s="185" customFormat="1" ht="15">
      <c r="A138" s="163"/>
      <c r="B138" s="163"/>
    </row>
    <row r="139" spans="1:2" s="185" customFormat="1" ht="15">
      <c r="A139" s="163"/>
      <c r="B139" s="163"/>
    </row>
    <row r="140" spans="1:2" s="185" customFormat="1" ht="15">
      <c r="A140" s="163"/>
      <c r="B140" s="163"/>
    </row>
    <row r="141" spans="1:2" s="185" customFormat="1" ht="15">
      <c r="A141" s="163"/>
      <c r="B141" s="163"/>
    </row>
    <row r="142" spans="1:2" s="185" customFormat="1" ht="15">
      <c r="A142" s="163"/>
      <c r="B142" s="163"/>
    </row>
    <row r="143" spans="1:2" s="185" customFormat="1" ht="15">
      <c r="A143" s="163"/>
      <c r="B143" s="163"/>
    </row>
    <row r="144" spans="1:2" s="185" customFormat="1" ht="15">
      <c r="A144" s="163"/>
      <c r="B144" s="163"/>
    </row>
    <row r="145" spans="1:2" s="185" customFormat="1" ht="15">
      <c r="A145" s="163"/>
      <c r="B145" s="163"/>
    </row>
    <row r="146" spans="1:2" s="185" customFormat="1" ht="15">
      <c r="A146" s="163"/>
      <c r="B146" s="163"/>
    </row>
    <row r="147" spans="1:2" s="185" customFormat="1" ht="15">
      <c r="A147" s="163"/>
      <c r="B147" s="163"/>
    </row>
    <row r="148" spans="1:2" s="185" customFormat="1" ht="15">
      <c r="A148" s="163"/>
      <c r="B148" s="163"/>
    </row>
    <row r="149" spans="1:2" s="185" customFormat="1" ht="15">
      <c r="A149" s="163"/>
      <c r="B149" s="163"/>
    </row>
    <row r="150" spans="1:2" s="185" customFormat="1" ht="15">
      <c r="A150" s="163"/>
      <c r="B150" s="163"/>
    </row>
    <row r="151" spans="1:2" s="185" customFormat="1" ht="15">
      <c r="A151" s="163"/>
      <c r="B151" s="163"/>
    </row>
    <row r="152" spans="1:2" s="185" customFormat="1" ht="15">
      <c r="A152" s="163"/>
      <c r="B152" s="163"/>
    </row>
    <row r="153" spans="1:2" s="185" customFormat="1" ht="15">
      <c r="A153" s="163"/>
      <c r="B153" s="163"/>
    </row>
    <row r="154" spans="1:2" s="185" customFormat="1" ht="15">
      <c r="A154" s="163"/>
      <c r="B154" s="163"/>
    </row>
    <row r="155" spans="1:2" s="185" customFormat="1" ht="15">
      <c r="A155" s="163"/>
      <c r="B155" s="163"/>
    </row>
    <row r="156" spans="1:2" s="185" customFormat="1" ht="15">
      <c r="A156" s="163"/>
      <c r="B156" s="163"/>
    </row>
    <row r="157" spans="1:2" s="185" customFormat="1" ht="15">
      <c r="A157" s="163"/>
      <c r="B157" s="163"/>
    </row>
    <row r="158" spans="1:2" s="185" customFormat="1" ht="15">
      <c r="A158" s="163"/>
      <c r="B158" s="163"/>
    </row>
    <row r="159" spans="1:2" s="185" customFormat="1" ht="15">
      <c r="A159" s="163"/>
      <c r="B159" s="163"/>
    </row>
    <row r="160" spans="1:2" s="185" customFormat="1" ht="15">
      <c r="A160" s="163"/>
      <c r="B160" s="163"/>
    </row>
    <row r="161" spans="1:2" s="185" customFormat="1" ht="15">
      <c r="A161" s="163"/>
      <c r="B161" s="163"/>
    </row>
    <row r="162" spans="1:2" s="185" customFormat="1" ht="15">
      <c r="A162" s="163"/>
      <c r="B162" s="163"/>
    </row>
    <row r="163" spans="1:2" s="185" customFormat="1" ht="15">
      <c r="A163" s="163"/>
      <c r="B163" s="163"/>
    </row>
    <row r="164" spans="1:2" s="185" customFormat="1" ht="15">
      <c r="A164" s="163"/>
      <c r="B164" s="163"/>
    </row>
    <row r="165" spans="1:2" s="185" customFormat="1" ht="15">
      <c r="A165" s="163"/>
      <c r="B165" s="163"/>
    </row>
    <row r="166" spans="1:2" s="185" customFormat="1" ht="15">
      <c r="A166" s="163"/>
      <c r="B166" s="163"/>
    </row>
    <row r="167" spans="1:2" s="185" customFormat="1" ht="15">
      <c r="A167" s="163"/>
      <c r="B167" s="163"/>
    </row>
    <row r="168" spans="1:2" s="185" customFormat="1" ht="15">
      <c r="A168" s="163"/>
      <c r="B168" s="163"/>
    </row>
    <row r="169" spans="1:2" s="185" customFormat="1" ht="15">
      <c r="A169" s="163"/>
      <c r="B169" s="163"/>
    </row>
    <row r="170" spans="1:2" s="185" customFormat="1" ht="15">
      <c r="A170" s="163"/>
      <c r="B170" s="163"/>
    </row>
    <row r="171" spans="1:2" s="185" customFormat="1" ht="15">
      <c r="A171" s="163"/>
      <c r="B171" s="163"/>
    </row>
    <row r="172" spans="1:2" s="185" customFormat="1" ht="15">
      <c r="A172" s="163"/>
      <c r="B172" s="163"/>
    </row>
    <row r="173" spans="1:2" s="185" customFormat="1" ht="15">
      <c r="A173" s="163"/>
      <c r="B173" s="163"/>
    </row>
    <row r="174" spans="1:2" s="185" customFormat="1" ht="15">
      <c r="A174" s="163"/>
      <c r="B174" s="163"/>
    </row>
    <row r="175" spans="1:2" s="185" customFormat="1" ht="15">
      <c r="A175" s="163"/>
      <c r="B175" s="163"/>
    </row>
    <row r="176" spans="1:2" s="185" customFormat="1" ht="15">
      <c r="A176" s="163"/>
      <c r="B176" s="163"/>
    </row>
    <row r="177" spans="1:2" s="185" customFormat="1" ht="15">
      <c r="A177" s="163"/>
      <c r="B177" s="163"/>
    </row>
    <row r="178" spans="1:2" s="185" customFormat="1" ht="15">
      <c r="A178" s="163"/>
      <c r="B178" s="163"/>
    </row>
    <row r="179" spans="1:2" s="185" customFormat="1" ht="15">
      <c r="A179" s="163"/>
      <c r="B179" s="163"/>
    </row>
    <row r="180" spans="1:2" s="185" customFormat="1" ht="15">
      <c r="A180" s="163"/>
      <c r="B180" s="163"/>
    </row>
    <row r="181" spans="1:2" s="185" customFormat="1" ht="15">
      <c r="A181" s="163"/>
      <c r="B181" s="163"/>
    </row>
    <row r="182" spans="1:2" s="185" customFormat="1" ht="15">
      <c r="A182" s="163"/>
      <c r="B182" s="163"/>
    </row>
    <row r="183" spans="1:2" s="185" customFormat="1" ht="15">
      <c r="A183" s="163"/>
      <c r="B183" s="163"/>
    </row>
    <row r="184" spans="1:2" s="185" customFormat="1" ht="15">
      <c r="A184" s="163"/>
      <c r="B184" s="163"/>
    </row>
    <row r="185" spans="1:2" s="185" customFormat="1" ht="15">
      <c r="A185" s="163"/>
      <c r="B185" s="163"/>
    </row>
    <row r="186" spans="1:2" s="185" customFormat="1" ht="15">
      <c r="A186" s="163"/>
      <c r="B186" s="163"/>
    </row>
    <row r="187" spans="1:2" s="185" customFormat="1" ht="15">
      <c r="A187" s="163"/>
      <c r="B187" s="163"/>
    </row>
    <row r="188" spans="1:2" s="185" customFormat="1" ht="15">
      <c r="A188" s="163"/>
      <c r="B188" s="163"/>
    </row>
    <row r="189" spans="1:2" s="185" customFormat="1" ht="15">
      <c r="A189" s="163"/>
      <c r="B189" s="163"/>
    </row>
    <row r="190" spans="1:2" s="185" customFormat="1" ht="15">
      <c r="A190" s="163"/>
      <c r="B190" s="163"/>
    </row>
    <row r="191" spans="1:2" s="185" customFormat="1" ht="15">
      <c r="A191" s="163"/>
      <c r="B191" s="163"/>
    </row>
    <row r="192" spans="1:2" s="185" customFormat="1" ht="15">
      <c r="A192" s="163"/>
      <c r="B192" s="163"/>
    </row>
    <row r="193" spans="1:2" s="185" customFormat="1" ht="15">
      <c r="A193" s="163"/>
      <c r="B193" s="163"/>
    </row>
    <row r="194" spans="1:2" s="185" customFormat="1" ht="15">
      <c r="A194" s="163"/>
      <c r="B194" s="163"/>
    </row>
    <row r="195" spans="1:2" s="185" customFormat="1" ht="15">
      <c r="A195" s="163"/>
      <c r="B195" s="163"/>
    </row>
    <row r="196" spans="1:2" s="185" customFormat="1" ht="15">
      <c r="A196" s="163"/>
      <c r="B196" s="163"/>
    </row>
    <row r="197" spans="1:2" s="185" customFormat="1" ht="15">
      <c r="A197" s="163"/>
      <c r="B197" s="163"/>
    </row>
    <row r="198" spans="1:2" s="185" customFormat="1" ht="15">
      <c r="A198" s="163"/>
      <c r="B198" s="163"/>
    </row>
    <row r="199" spans="1:2" s="185" customFormat="1" ht="15">
      <c r="A199" s="163"/>
      <c r="B199" s="163"/>
    </row>
    <row r="200" spans="1:2" s="185" customFormat="1" ht="15">
      <c r="A200" s="163"/>
      <c r="B200" s="163"/>
    </row>
    <row r="201" spans="1:2" s="185" customFormat="1" ht="15">
      <c r="A201" s="163"/>
      <c r="B201" s="163"/>
    </row>
    <row r="202" spans="1:2" s="185" customFormat="1" ht="15">
      <c r="A202" s="163"/>
      <c r="B202" s="163"/>
    </row>
    <row r="203" spans="1:2" s="185" customFormat="1" ht="15">
      <c r="A203" s="163"/>
      <c r="B203" s="163"/>
    </row>
    <row r="204" spans="1:2" s="185" customFormat="1" ht="15">
      <c r="A204" s="163"/>
      <c r="B204" s="163"/>
    </row>
    <row r="205" spans="1:2" s="185" customFormat="1" ht="15">
      <c r="A205" s="163"/>
      <c r="B205" s="163"/>
    </row>
    <row r="206" spans="1:2" s="185" customFormat="1" ht="15">
      <c r="A206" s="163"/>
      <c r="B206" s="163"/>
    </row>
    <row r="207" spans="1:2" s="185" customFormat="1" ht="15">
      <c r="A207" s="163"/>
      <c r="B207" s="163"/>
    </row>
    <row r="208" spans="1:2" s="185" customFormat="1" ht="15">
      <c r="A208" s="163"/>
      <c r="B208" s="163"/>
    </row>
    <row r="209" spans="1:2" s="185" customFormat="1" ht="15">
      <c r="A209" s="163"/>
      <c r="B209" s="163"/>
    </row>
    <row r="210" spans="1:2" s="185" customFormat="1" ht="15">
      <c r="A210" s="163"/>
      <c r="B210" s="163"/>
    </row>
    <row r="211" spans="1:2" s="185" customFormat="1" ht="15">
      <c r="A211" s="163"/>
      <c r="B211" s="163"/>
    </row>
    <row r="212" spans="1:2" s="185" customFormat="1" ht="15">
      <c r="A212" s="163"/>
      <c r="B212" s="163"/>
    </row>
    <row r="213" spans="1:2" s="185" customFormat="1" ht="15">
      <c r="A213" s="163"/>
      <c r="B213" s="163"/>
    </row>
    <row r="214" spans="1:2" s="185" customFormat="1" ht="15">
      <c r="A214" s="163"/>
      <c r="B214" s="163"/>
    </row>
    <row r="215" spans="1:2" s="185" customFormat="1" ht="15">
      <c r="A215" s="163"/>
      <c r="B215" s="163"/>
    </row>
    <row r="216" spans="1:2" s="185" customFormat="1" ht="15">
      <c r="A216" s="163"/>
      <c r="B216" s="163"/>
    </row>
    <row r="217" spans="1:2" s="185" customFormat="1" ht="15">
      <c r="A217" s="163"/>
      <c r="B217" s="163"/>
    </row>
    <row r="218" spans="1:2" s="185" customFormat="1" ht="15">
      <c r="A218" s="163"/>
      <c r="B218" s="163"/>
    </row>
    <row r="219" spans="1:2" s="185" customFormat="1" ht="15">
      <c r="A219" s="163"/>
      <c r="B219" s="163"/>
    </row>
    <row r="220" spans="1:2" s="185" customFormat="1" ht="15">
      <c r="A220" s="163"/>
      <c r="B220" s="163"/>
    </row>
    <row r="221" spans="1:2" s="185" customFormat="1" ht="15">
      <c r="A221" s="163"/>
      <c r="B221" s="163"/>
    </row>
    <row r="222" spans="1:2" s="185" customFormat="1" ht="15">
      <c r="A222" s="163"/>
      <c r="B222" s="163"/>
    </row>
    <row r="223" spans="1:2" s="185" customFormat="1" ht="15">
      <c r="A223" s="163"/>
      <c r="B223" s="163"/>
    </row>
    <row r="224" spans="1:2" s="185" customFormat="1" ht="15">
      <c r="A224" s="163"/>
      <c r="B224" s="163"/>
    </row>
    <row r="225" spans="1:2" s="185" customFormat="1" ht="15">
      <c r="A225" s="163"/>
      <c r="B225" s="163"/>
    </row>
    <row r="226" spans="1:2" s="185" customFormat="1" ht="15">
      <c r="A226" s="163"/>
      <c r="B226" s="163"/>
    </row>
    <row r="227" spans="1:2" s="185" customFormat="1" ht="15">
      <c r="A227" s="163"/>
      <c r="B227" s="163"/>
    </row>
    <row r="228" spans="1:2" s="185" customFormat="1" ht="15">
      <c r="A228" s="163"/>
      <c r="B228" s="163"/>
    </row>
    <row r="229" spans="1:2" s="185" customFormat="1" ht="15">
      <c r="A229" s="163"/>
      <c r="B229" s="163"/>
    </row>
    <row r="230" spans="1:2" s="185" customFormat="1" ht="15">
      <c r="A230" s="163"/>
      <c r="B230" s="163"/>
    </row>
    <row r="231" spans="1:2" s="185" customFormat="1" ht="15">
      <c r="A231" s="163"/>
      <c r="B231" s="163"/>
    </row>
    <row r="232" spans="1:2" s="185" customFormat="1" ht="15">
      <c r="A232" s="163"/>
      <c r="B232" s="163"/>
    </row>
    <row r="233" spans="1:2" s="185" customFormat="1" ht="15">
      <c r="A233" s="163"/>
      <c r="B233" s="163"/>
    </row>
    <row r="234" spans="1:2" s="185" customFormat="1" ht="15">
      <c r="A234" s="163"/>
      <c r="B234" s="163"/>
    </row>
    <row r="235" spans="1:2" s="185" customFormat="1" ht="15">
      <c r="A235" s="163"/>
      <c r="B235" s="163"/>
    </row>
    <row r="236" spans="1:2" s="185" customFormat="1" ht="15">
      <c r="A236" s="163"/>
      <c r="B236" s="163"/>
    </row>
    <row r="237" spans="1:2" s="185" customFormat="1" ht="15">
      <c r="A237" s="163"/>
      <c r="B237" s="163"/>
    </row>
    <row r="238" spans="1:2" s="185" customFormat="1" ht="15">
      <c r="A238" s="163"/>
      <c r="B238" s="163"/>
    </row>
    <row r="239" spans="1:2" s="185" customFormat="1" ht="15">
      <c r="A239" s="163"/>
      <c r="B239" s="163"/>
    </row>
    <row r="240" spans="1:2" s="185" customFormat="1" ht="15">
      <c r="A240" s="163"/>
      <c r="B240" s="163"/>
    </row>
    <row r="241" spans="1:2" s="185" customFormat="1" ht="15">
      <c r="A241" s="163"/>
      <c r="B241" s="163"/>
    </row>
    <row r="242" spans="1:2" s="185" customFormat="1" ht="15">
      <c r="A242" s="163"/>
      <c r="B242" s="163"/>
    </row>
    <row r="243" spans="1:2" s="185" customFormat="1" ht="15">
      <c r="A243" s="163"/>
      <c r="B243" s="163"/>
    </row>
    <row r="244" spans="1:2" s="185" customFormat="1" ht="15">
      <c r="A244" s="163"/>
      <c r="B244" s="163"/>
    </row>
    <row r="245" spans="1:2" s="185" customFormat="1" ht="15">
      <c r="A245" s="163"/>
      <c r="B245" s="163"/>
    </row>
    <row r="246" spans="1:2" s="185" customFormat="1" ht="15">
      <c r="A246" s="163"/>
      <c r="B246" s="163"/>
    </row>
    <row r="247" spans="1:2" s="185" customFormat="1" ht="15">
      <c r="A247" s="163"/>
      <c r="B247" s="163"/>
    </row>
    <row r="248" spans="1:2" s="185" customFormat="1" ht="15">
      <c r="A248" s="163"/>
      <c r="B248" s="163"/>
    </row>
    <row r="249" spans="1:2" s="185" customFormat="1" ht="15">
      <c r="A249" s="163"/>
      <c r="B249" s="163"/>
    </row>
    <row r="250" spans="1:2" s="185" customFormat="1" ht="15">
      <c r="A250" s="163"/>
      <c r="B250" s="163"/>
    </row>
    <row r="251" spans="1:2" s="185" customFormat="1" ht="15">
      <c r="A251" s="163"/>
      <c r="B251" s="163"/>
    </row>
    <row r="252" spans="1:2" s="185" customFormat="1" ht="15">
      <c r="A252" s="163"/>
      <c r="B252" s="163"/>
    </row>
    <row r="253" spans="1:2" s="185" customFormat="1" ht="15">
      <c r="A253" s="163"/>
      <c r="B253" s="163"/>
    </row>
    <row r="254" spans="1:2" s="185" customFormat="1" ht="15">
      <c r="A254" s="163"/>
      <c r="B254" s="163"/>
    </row>
    <row r="255" spans="1:2" s="185" customFormat="1" ht="15">
      <c r="A255" s="163"/>
      <c r="B255" s="163"/>
    </row>
    <row r="256" spans="1:2" s="185" customFormat="1" ht="15">
      <c r="A256" s="163"/>
      <c r="B256" s="163"/>
    </row>
    <row r="257" spans="1:2" s="185" customFormat="1" ht="15">
      <c r="A257" s="163"/>
      <c r="B257" s="163"/>
    </row>
    <row r="258" spans="1:2" s="185" customFormat="1" ht="15">
      <c r="A258" s="163"/>
      <c r="B258" s="163"/>
    </row>
    <row r="259" spans="1:2" s="185" customFormat="1" ht="15">
      <c r="A259" s="163"/>
      <c r="B259" s="163"/>
    </row>
    <row r="260" spans="1:2" s="185" customFormat="1" ht="15">
      <c r="A260" s="163"/>
      <c r="B260" s="163"/>
    </row>
    <row r="261" spans="1:2" s="185" customFormat="1" ht="15">
      <c r="A261" s="163"/>
      <c r="B261" s="163"/>
    </row>
    <row r="262" spans="1:2" s="185" customFormat="1" ht="15">
      <c r="A262" s="163"/>
      <c r="B262" s="163"/>
    </row>
    <row r="263" spans="1:2" s="185" customFormat="1" ht="15">
      <c r="A263" s="163"/>
      <c r="B263" s="163"/>
    </row>
    <row r="264" spans="1:2" s="185" customFormat="1" ht="15">
      <c r="A264" s="163"/>
      <c r="B264" s="163"/>
    </row>
    <row r="265" spans="1:2" s="185" customFormat="1" ht="15">
      <c r="A265" s="163"/>
      <c r="B265" s="163"/>
    </row>
    <row r="266" spans="1:2" s="185" customFormat="1" ht="15">
      <c r="A266" s="163"/>
      <c r="B266" s="163"/>
    </row>
    <row r="267" spans="1:2" s="185" customFormat="1" ht="15">
      <c r="A267" s="163"/>
      <c r="B267" s="163"/>
    </row>
    <row r="268" spans="1:2" s="185" customFormat="1" ht="15">
      <c r="A268" s="163"/>
      <c r="B268" s="163"/>
    </row>
    <row r="269" spans="1:2" s="185" customFormat="1" ht="15">
      <c r="A269" s="163"/>
      <c r="B269" s="163"/>
    </row>
    <row r="270" spans="1:2" s="185" customFormat="1" ht="15">
      <c r="A270" s="163"/>
      <c r="B270" s="163"/>
    </row>
    <row r="271" spans="1:2" s="185" customFormat="1" ht="15">
      <c r="A271" s="163"/>
      <c r="B271" s="163"/>
    </row>
    <row r="272" spans="1:2" s="185" customFormat="1" ht="15">
      <c r="A272" s="163"/>
      <c r="B272" s="163"/>
    </row>
    <row r="273" spans="1:2" s="185" customFormat="1" ht="15">
      <c r="A273" s="163"/>
      <c r="B273" s="163"/>
    </row>
    <row r="274" spans="1:2" s="185" customFormat="1" ht="15">
      <c r="A274" s="163"/>
      <c r="B274" s="163"/>
    </row>
    <row r="275" spans="1:2" s="185" customFormat="1" ht="15">
      <c r="A275" s="163"/>
      <c r="B275" s="163"/>
    </row>
    <row r="276" spans="1:2" s="185" customFormat="1" ht="15">
      <c r="A276" s="163"/>
      <c r="B276" s="163"/>
    </row>
    <row r="277" spans="1:2" s="185" customFormat="1" ht="15">
      <c r="A277" s="163"/>
      <c r="B277" s="163"/>
    </row>
    <row r="278" spans="1:2" s="185" customFormat="1" ht="15">
      <c r="A278" s="163"/>
      <c r="B278" s="163"/>
    </row>
    <row r="279" spans="1:2" s="185" customFormat="1" ht="15">
      <c r="A279" s="163"/>
      <c r="B279" s="163"/>
    </row>
    <row r="280" spans="1:2" s="185" customFormat="1" ht="15">
      <c r="A280" s="163"/>
      <c r="B280" s="163"/>
    </row>
    <row r="281" spans="1:2" s="185" customFormat="1" ht="15">
      <c r="A281" s="163"/>
      <c r="B281" s="163"/>
    </row>
    <row r="282" spans="1:2" s="185" customFormat="1" ht="15">
      <c r="A282" s="163"/>
      <c r="B282" s="163"/>
    </row>
    <row r="283" spans="1:2" s="185" customFormat="1" ht="15">
      <c r="A283" s="163"/>
      <c r="B283" s="163"/>
    </row>
    <row r="284" spans="1:2" s="185" customFormat="1" ht="15">
      <c r="A284" s="163"/>
      <c r="B284" s="163"/>
    </row>
    <row r="285" spans="1:2" s="185" customFormat="1" ht="15">
      <c r="A285" s="163"/>
      <c r="B285" s="163"/>
    </row>
    <row r="286" spans="1:2" s="185" customFormat="1" ht="15">
      <c r="A286" s="163"/>
      <c r="B286" s="163"/>
    </row>
    <row r="287" spans="1:2" s="185" customFormat="1" ht="15">
      <c r="A287" s="163"/>
      <c r="B287" s="163"/>
    </row>
    <row r="288" spans="1:2" s="185" customFormat="1" ht="15">
      <c r="A288" s="163"/>
      <c r="B288" s="163"/>
    </row>
    <row r="289" spans="1:2" s="185" customFormat="1" ht="15">
      <c r="A289" s="163"/>
      <c r="B289" s="163"/>
    </row>
    <row r="290" spans="1:2" s="185" customFormat="1" ht="15">
      <c r="A290" s="163"/>
      <c r="B290" s="163"/>
    </row>
    <row r="291" spans="1:2" s="185" customFormat="1" ht="15">
      <c r="A291" s="163"/>
      <c r="B291" s="163"/>
    </row>
    <row r="292" spans="1:2" s="185" customFormat="1" ht="15">
      <c r="A292" s="163"/>
      <c r="B292" s="163"/>
    </row>
    <row r="293" spans="1:2" s="185" customFormat="1" ht="15">
      <c r="A293" s="163"/>
      <c r="B293" s="163"/>
    </row>
    <row r="294" spans="1:2" s="185" customFormat="1" ht="15">
      <c r="A294" s="163"/>
      <c r="B294" s="163"/>
    </row>
    <row r="295" spans="1:2" s="185" customFormat="1" ht="15">
      <c r="A295" s="163"/>
      <c r="B295" s="163"/>
    </row>
    <row r="296" spans="1:2" s="185" customFormat="1" ht="15">
      <c r="A296" s="163"/>
      <c r="B296" s="163"/>
    </row>
    <row r="297" spans="1:2" s="185" customFormat="1" ht="15">
      <c r="A297" s="163"/>
      <c r="B297" s="163"/>
    </row>
    <row r="298" spans="1:2" s="185" customFormat="1" ht="15">
      <c r="A298" s="163"/>
      <c r="B298" s="163"/>
    </row>
    <row r="299" spans="1:2" s="185" customFormat="1" ht="15">
      <c r="A299" s="163"/>
      <c r="B299" s="163"/>
    </row>
    <row r="300" spans="1:2" s="185" customFormat="1" ht="15">
      <c r="A300" s="163"/>
      <c r="B300" s="163"/>
    </row>
    <row r="301" spans="1:2" s="185" customFormat="1" ht="15">
      <c r="A301" s="163"/>
      <c r="B301" s="163"/>
    </row>
    <row r="302" spans="1:2" s="185" customFormat="1" ht="15">
      <c r="A302" s="163"/>
      <c r="B302" s="163"/>
    </row>
    <row r="303" spans="1:2" s="185" customFormat="1" ht="15">
      <c r="A303" s="163"/>
      <c r="B303" s="163"/>
    </row>
    <row r="304" spans="1:2" s="185" customFormat="1" ht="15">
      <c r="A304" s="163"/>
      <c r="B304" s="163"/>
    </row>
    <row r="305" spans="1:2" s="185" customFormat="1" ht="15">
      <c r="A305" s="163"/>
      <c r="B305" s="163"/>
    </row>
    <row r="306" spans="1:2" s="185" customFormat="1" ht="15">
      <c r="A306" s="163"/>
      <c r="B306" s="163"/>
    </row>
    <row r="307" spans="1:2" s="185" customFormat="1" ht="15">
      <c r="A307" s="163"/>
      <c r="B307" s="163"/>
    </row>
    <row r="308" spans="1:2" s="185" customFormat="1" ht="15">
      <c r="A308" s="163"/>
      <c r="B308" s="163"/>
    </row>
    <row r="309" spans="1:2" s="185" customFormat="1" ht="15">
      <c r="A309" s="163"/>
      <c r="B309" s="163"/>
    </row>
    <row r="310" spans="1:2" s="185" customFormat="1" ht="15">
      <c r="A310" s="163"/>
      <c r="B310" s="163"/>
    </row>
    <row r="311" spans="1:2" s="185" customFormat="1" ht="15">
      <c r="A311" s="163"/>
      <c r="B311" s="163"/>
    </row>
    <row r="312" spans="1:2" s="185" customFormat="1" ht="15">
      <c r="A312" s="163"/>
      <c r="B312" s="163"/>
    </row>
    <row r="313" spans="1:2" s="185" customFormat="1" ht="15">
      <c r="A313" s="163"/>
      <c r="B313" s="163"/>
    </row>
    <row r="314" spans="1:2" s="185" customFormat="1" ht="15">
      <c r="A314" s="163"/>
      <c r="B314" s="163"/>
    </row>
    <row r="315" spans="1:2" s="185" customFormat="1" ht="15">
      <c r="A315" s="163"/>
      <c r="B315" s="163"/>
    </row>
  </sheetData>
  <sheetProtection/>
  <mergeCells count="1">
    <mergeCell ref="A5:U6"/>
  </mergeCells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20"/>
  <sheetViews>
    <sheetView showZeros="0" view="pageBreakPreview" zoomScale="80" zoomScaleSheetLayoutView="80" zoomScalePageLayoutView="0" workbookViewId="0" topLeftCell="A10">
      <selection activeCell="A19" sqref="A19"/>
    </sheetView>
  </sheetViews>
  <sheetFormatPr defaultColWidth="9.00390625" defaultRowHeight="12.75"/>
  <cols>
    <col min="1" max="1" width="35.75390625" style="163" customWidth="1"/>
    <col min="2" max="2" width="11.25390625" style="163" customWidth="1"/>
    <col min="3" max="3" width="10.125" style="0" customWidth="1"/>
    <col min="4" max="4" width="9.625" style="0" bestFit="1" customWidth="1"/>
    <col min="5" max="5" width="9.625" style="0" customWidth="1"/>
    <col min="6" max="6" width="10.25390625" style="0" customWidth="1"/>
    <col min="7" max="7" width="8.00390625" style="0" customWidth="1"/>
    <col min="8" max="8" width="8.875" style="0" customWidth="1"/>
    <col min="9" max="9" width="10.25390625" style="0" customWidth="1"/>
    <col min="10" max="10" width="9.00390625" style="0" hidden="1" customWidth="1"/>
    <col min="11" max="11" width="10.25390625" style="0" customWidth="1"/>
    <col min="12" max="12" width="10.125" style="0" customWidth="1"/>
    <col min="13" max="13" width="9.00390625" style="0" hidden="1" customWidth="1"/>
    <col min="14" max="15" width="10.125" style="0" hidden="1" customWidth="1"/>
    <col min="16" max="16" width="7.875" style="0" hidden="1" customWidth="1"/>
    <col min="17" max="17" width="8.625" style="0" customWidth="1"/>
    <col min="18" max="18" width="9.25390625" style="0" customWidth="1"/>
    <col min="19" max="19" width="9.375" style="0" customWidth="1"/>
    <col min="20" max="20" width="9.75390625" style="0" customWidth="1"/>
    <col min="21" max="21" width="11.25390625" style="0" customWidth="1"/>
  </cols>
  <sheetData>
    <row r="1" spans="11:20" ht="24.75" customHeight="1"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36" customFormat="1" ht="18.75">
      <c r="A2" s="12"/>
      <c r="B2" s="12"/>
      <c r="K2" s="567"/>
      <c r="L2" s="96" t="s">
        <v>588</v>
      </c>
      <c r="M2" s="405"/>
      <c r="N2" s="96"/>
      <c r="O2" s="584"/>
      <c r="P2" s="162"/>
      <c r="Q2" s="567"/>
      <c r="R2" s="567"/>
      <c r="S2" s="567"/>
      <c r="T2" s="567"/>
    </row>
    <row r="3" spans="1:20" s="136" customFormat="1" ht="15.75" customHeight="1">
      <c r="A3" s="12"/>
      <c r="B3" s="12"/>
      <c r="K3" s="567"/>
      <c r="L3" s="96" t="s">
        <v>546</v>
      </c>
      <c r="M3" s="98"/>
      <c r="N3" s="96"/>
      <c r="O3" s="584"/>
      <c r="P3" s="162"/>
      <c r="Q3" s="587"/>
      <c r="R3" s="587"/>
      <c r="S3" s="567"/>
      <c r="T3" s="567"/>
    </row>
    <row r="4" spans="1:20" s="136" customFormat="1" ht="18.75">
      <c r="A4" s="12"/>
      <c r="B4" s="12"/>
      <c r="K4" s="567"/>
      <c r="L4" s="96" t="s">
        <v>1225</v>
      </c>
      <c r="M4" s="98"/>
      <c r="N4" s="96"/>
      <c r="O4" s="584"/>
      <c r="P4" s="162"/>
      <c r="Q4" s="587"/>
      <c r="R4" s="587"/>
      <c r="S4" s="587"/>
      <c r="T4" s="587"/>
    </row>
    <row r="5" spans="1:20" s="136" customFormat="1" ht="18.75">
      <c r="A5" s="12"/>
      <c r="B5" s="12"/>
      <c r="K5" s="567"/>
      <c r="L5" s="585" t="str">
        <f>'0800 пред'!Q4</f>
        <v>№5 от 5.03.2012г.</v>
      </c>
      <c r="M5" s="586"/>
      <c r="N5" s="585"/>
      <c r="O5" s="584"/>
      <c r="P5" s="162"/>
      <c r="Q5" s="6"/>
      <c r="R5" s="129"/>
      <c r="S5" s="567"/>
      <c r="T5" s="567"/>
    </row>
    <row r="6" spans="1:2" s="136" customFormat="1" ht="15">
      <c r="A6" s="12"/>
      <c r="B6" s="12"/>
    </row>
    <row r="7" spans="1:22" s="136" customFormat="1" ht="33" customHeight="1">
      <c r="A7" s="1145" t="s">
        <v>1188</v>
      </c>
      <c r="B7" s="1145"/>
      <c r="C7" s="1145"/>
      <c r="D7" s="1145"/>
      <c r="E7" s="1145"/>
      <c r="F7" s="1145"/>
      <c r="G7" s="1145"/>
      <c r="H7" s="1145"/>
      <c r="I7" s="1145"/>
      <c r="J7" s="1145"/>
      <c r="K7" s="1145"/>
      <c r="L7" s="1145"/>
      <c r="M7" s="1145"/>
      <c r="N7" s="1145"/>
      <c r="O7" s="1145"/>
      <c r="P7" s="1145"/>
      <c r="Q7" s="1145"/>
      <c r="R7" s="1145"/>
      <c r="S7" s="1145"/>
      <c r="T7" s="1145"/>
      <c r="U7" s="1145"/>
      <c r="V7" s="1145"/>
    </row>
    <row r="8" spans="1:8" s="136" customFormat="1" ht="15">
      <c r="A8" s="12"/>
      <c r="B8" s="12"/>
      <c r="H8" s="12" t="s">
        <v>1277</v>
      </c>
    </row>
    <row r="9" spans="1:21" s="136" customFormat="1" ht="15.75">
      <c r="A9" s="12"/>
      <c r="B9" s="12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</row>
    <row r="10" spans="1:21" s="185" customFormat="1" ht="15.75">
      <c r="A10" s="167"/>
      <c r="B10" s="167">
        <v>210</v>
      </c>
      <c r="C10" s="166">
        <v>211</v>
      </c>
      <c r="D10" s="166">
        <v>212</v>
      </c>
      <c r="E10" s="166">
        <v>213</v>
      </c>
      <c r="F10" s="235">
        <v>220</v>
      </c>
      <c r="G10" s="166">
        <v>221</v>
      </c>
      <c r="H10" s="166">
        <v>222</v>
      </c>
      <c r="I10" s="166">
        <v>223</v>
      </c>
      <c r="J10" s="166">
        <v>224</v>
      </c>
      <c r="K10" s="166">
        <v>225</v>
      </c>
      <c r="L10" s="166">
        <v>226</v>
      </c>
      <c r="M10" s="167">
        <v>240</v>
      </c>
      <c r="N10" s="166">
        <v>241</v>
      </c>
      <c r="O10" s="166">
        <v>242</v>
      </c>
      <c r="P10" s="167">
        <v>262</v>
      </c>
      <c r="Q10" s="235">
        <v>290</v>
      </c>
      <c r="R10" s="236">
        <v>300</v>
      </c>
      <c r="S10" s="166">
        <v>310</v>
      </c>
      <c r="T10" s="166">
        <v>340</v>
      </c>
      <c r="U10" s="166"/>
    </row>
    <row r="11" spans="1:21" s="239" customFormat="1" ht="104.25" customHeight="1">
      <c r="A11" s="167"/>
      <c r="B11" s="237" t="s">
        <v>128</v>
      </c>
      <c r="C11" s="238" t="s">
        <v>727</v>
      </c>
      <c r="D11" s="238" t="s">
        <v>130</v>
      </c>
      <c r="E11" s="238" t="s">
        <v>728</v>
      </c>
      <c r="F11" s="237" t="s">
        <v>734</v>
      </c>
      <c r="G11" s="238" t="s">
        <v>132</v>
      </c>
      <c r="H11" s="238" t="s">
        <v>133</v>
      </c>
      <c r="I11" s="238" t="s">
        <v>134</v>
      </c>
      <c r="J11" s="238" t="s">
        <v>135</v>
      </c>
      <c r="K11" s="238" t="s">
        <v>735</v>
      </c>
      <c r="L11" s="238" t="s">
        <v>736</v>
      </c>
      <c r="M11" s="238" t="s">
        <v>226</v>
      </c>
      <c r="N11" s="238" t="s">
        <v>227</v>
      </c>
      <c r="O11" s="238" t="s">
        <v>228</v>
      </c>
      <c r="P11" s="238" t="s">
        <v>229</v>
      </c>
      <c r="Q11" s="238" t="s">
        <v>140</v>
      </c>
      <c r="R11" s="237" t="s">
        <v>141</v>
      </c>
      <c r="S11" s="238" t="s">
        <v>142</v>
      </c>
      <c r="T11" s="238" t="s">
        <v>143</v>
      </c>
      <c r="U11" s="238" t="s">
        <v>634</v>
      </c>
    </row>
    <row r="12" spans="1:21" s="162" customFormat="1" ht="15.75">
      <c r="A12" s="167" t="s">
        <v>1225</v>
      </c>
      <c r="B12" s="240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40"/>
      <c r="S12" s="205"/>
      <c r="T12" s="205"/>
      <c r="U12" s="241"/>
    </row>
    <row r="13" spans="1:21" s="162" customFormat="1" ht="15.75">
      <c r="A13" s="167" t="s">
        <v>464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</row>
    <row r="14" spans="1:22" s="672" customFormat="1" ht="66" customHeight="1">
      <c r="A14" s="669" t="s">
        <v>1265</v>
      </c>
      <c r="B14" s="670">
        <f>C14+D14+E14</f>
        <v>591.6</v>
      </c>
      <c r="C14" s="806">
        <v>440.1</v>
      </c>
      <c r="D14" s="670">
        <v>1</v>
      </c>
      <c r="E14" s="670">
        <v>150.5</v>
      </c>
      <c r="F14" s="670">
        <f>G14+H14+I14+J14+K14+L14</f>
        <v>77</v>
      </c>
      <c r="G14" s="670">
        <v>4</v>
      </c>
      <c r="H14" s="670">
        <v>2</v>
      </c>
      <c r="I14" s="670">
        <v>60</v>
      </c>
      <c r="J14" s="670"/>
      <c r="K14" s="670">
        <v>6</v>
      </c>
      <c r="L14" s="670">
        <v>5</v>
      </c>
      <c r="M14" s="670" t="e">
        <f>'[1]свод бюджет'!M89</f>
        <v>#REF!</v>
      </c>
      <c r="N14" s="670" t="e">
        <f>'[1]свод бюджет'!N89</f>
        <v>#REF!</v>
      </c>
      <c r="O14" s="670" t="e">
        <f>'[1]свод бюджет'!O89</f>
        <v>#REF!</v>
      </c>
      <c r="P14" s="670" t="e">
        <f>'[1]свод бюджет'!P89</f>
        <v>#REF!</v>
      </c>
      <c r="Q14" s="670">
        <v>5</v>
      </c>
      <c r="R14" s="670">
        <f>S14+T14</f>
        <v>3</v>
      </c>
      <c r="S14" s="670"/>
      <c r="T14" s="670">
        <v>3</v>
      </c>
      <c r="U14" s="670">
        <f>B14+F14+Q14+R14</f>
        <v>676.6</v>
      </c>
      <c r="V14" s="671"/>
    </row>
    <row r="15" spans="1:22" s="672" customFormat="1" ht="37.5" customHeight="1" hidden="1">
      <c r="A15" s="673" t="s">
        <v>514</v>
      </c>
      <c r="B15" s="670"/>
      <c r="C15" s="670"/>
      <c r="D15" s="670"/>
      <c r="E15" s="670"/>
      <c r="F15" s="670"/>
      <c r="G15" s="670"/>
      <c r="H15" s="670"/>
      <c r="I15" s="670"/>
      <c r="J15" s="670"/>
      <c r="K15" s="670"/>
      <c r="L15" s="670"/>
      <c r="M15" s="670"/>
      <c r="N15" s="670"/>
      <c r="O15" s="670"/>
      <c r="P15" s="670"/>
      <c r="Q15" s="670"/>
      <c r="R15" s="670"/>
      <c r="S15" s="670"/>
      <c r="T15" s="670"/>
      <c r="U15" s="670"/>
      <c r="V15" s="671"/>
    </row>
    <row r="16" spans="1:22" s="672" customFormat="1" ht="66" customHeight="1" hidden="1">
      <c r="A16" s="669" t="s">
        <v>515</v>
      </c>
      <c r="B16" s="670">
        <f>C16+E16</f>
        <v>0</v>
      </c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670"/>
      <c r="N16" s="670"/>
      <c r="O16" s="670"/>
      <c r="P16" s="670"/>
      <c r="Q16" s="670"/>
      <c r="R16" s="670"/>
      <c r="S16" s="670"/>
      <c r="T16" s="670"/>
      <c r="U16" s="670">
        <f>B16</f>
        <v>0</v>
      </c>
      <c r="V16" s="671"/>
    </row>
    <row r="17" spans="1:22" s="672" customFormat="1" ht="27" customHeight="1">
      <c r="A17" s="673" t="s">
        <v>516</v>
      </c>
      <c r="B17" s="670"/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0"/>
      <c r="N17" s="670"/>
      <c r="O17" s="670"/>
      <c r="P17" s="670"/>
      <c r="Q17" s="670"/>
      <c r="R17" s="670"/>
      <c r="S17" s="670"/>
      <c r="T17" s="670"/>
      <c r="U17" s="670"/>
      <c r="V17" s="671"/>
    </row>
    <row r="18" spans="1:22" s="672" customFormat="1" ht="92.25" customHeight="1">
      <c r="A18" s="669" t="s">
        <v>1282</v>
      </c>
      <c r="B18" s="670">
        <f>C18+E18</f>
        <v>18</v>
      </c>
      <c r="C18" s="670">
        <v>12.564</v>
      </c>
      <c r="D18" s="670"/>
      <c r="E18" s="670">
        <v>5.436</v>
      </c>
      <c r="F18" s="670"/>
      <c r="G18" s="670"/>
      <c r="H18" s="670"/>
      <c r="I18" s="670"/>
      <c r="J18" s="670"/>
      <c r="K18" s="670"/>
      <c r="L18" s="670"/>
      <c r="M18" s="670"/>
      <c r="N18" s="670"/>
      <c r="O18" s="670"/>
      <c r="P18" s="670"/>
      <c r="Q18" s="670"/>
      <c r="R18" s="670">
        <f>S18+T18</f>
        <v>2</v>
      </c>
      <c r="S18" s="670"/>
      <c r="T18" s="670">
        <v>2</v>
      </c>
      <c r="U18" s="670">
        <f>B18+Q18+R18+F18</f>
        <v>20</v>
      </c>
      <c r="V18" s="671"/>
    </row>
    <row r="19" spans="1:22" s="244" customFormat="1" ht="23.25" customHeight="1">
      <c r="A19" s="447" t="s">
        <v>235</v>
      </c>
      <c r="B19" s="643">
        <f>B14+B16+B18</f>
        <v>609.6</v>
      </c>
      <c r="C19" s="807">
        <f aca="true" t="shared" si="0" ref="C19:U19">C14+C16+C18</f>
        <v>452.66400000000004</v>
      </c>
      <c r="D19" s="643">
        <f t="shared" si="0"/>
        <v>1</v>
      </c>
      <c r="E19" s="643">
        <f t="shared" si="0"/>
        <v>155.936</v>
      </c>
      <c r="F19" s="643">
        <f>F14+F16+F18</f>
        <v>77</v>
      </c>
      <c r="G19" s="643">
        <f t="shared" si="0"/>
        <v>4</v>
      </c>
      <c r="H19" s="643">
        <f t="shared" si="0"/>
        <v>2</v>
      </c>
      <c r="I19" s="643">
        <f t="shared" si="0"/>
        <v>60</v>
      </c>
      <c r="J19" s="643">
        <f t="shared" si="0"/>
        <v>0</v>
      </c>
      <c r="K19" s="643">
        <f t="shared" si="0"/>
        <v>6</v>
      </c>
      <c r="L19" s="643">
        <f>L14+L16+L18</f>
        <v>5</v>
      </c>
      <c r="M19" s="643" t="e">
        <f t="shared" si="0"/>
        <v>#REF!</v>
      </c>
      <c r="N19" s="643" t="e">
        <f t="shared" si="0"/>
        <v>#REF!</v>
      </c>
      <c r="O19" s="643" t="e">
        <f t="shared" si="0"/>
        <v>#REF!</v>
      </c>
      <c r="P19" s="643" t="e">
        <f t="shared" si="0"/>
        <v>#REF!</v>
      </c>
      <c r="Q19" s="643">
        <f>Q14+Q16+Q18</f>
        <v>5</v>
      </c>
      <c r="R19" s="643">
        <v>2</v>
      </c>
      <c r="S19" s="643">
        <f t="shared" si="0"/>
        <v>0</v>
      </c>
      <c r="T19" s="643">
        <f>T14+T16+T18</f>
        <v>5</v>
      </c>
      <c r="U19" s="643">
        <f t="shared" si="0"/>
        <v>696.6</v>
      </c>
      <c r="V19" s="243"/>
    </row>
    <row r="20" spans="1:21" s="185" customFormat="1" ht="15">
      <c r="A20" s="163"/>
      <c r="B20" s="163"/>
      <c r="U20" s="245"/>
    </row>
    <row r="21" spans="1:5" s="185" customFormat="1" ht="15">
      <c r="A21" s="163"/>
      <c r="B21" s="163"/>
      <c r="C21" s="185" t="s">
        <v>687</v>
      </c>
      <c r="E21" s="163"/>
    </row>
    <row r="22" spans="1:2" s="185" customFormat="1" ht="15">
      <c r="A22" s="163"/>
      <c r="B22" s="163"/>
    </row>
    <row r="23" spans="1:2" s="185" customFormat="1" ht="15">
      <c r="A23" s="163"/>
      <c r="B23" s="163"/>
    </row>
    <row r="24" spans="1:2" s="185" customFormat="1" ht="15">
      <c r="A24" s="163"/>
      <c r="B24" s="163"/>
    </row>
    <row r="25" spans="1:2" s="185" customFormat="1" ht="15">
      <c r="A25" s="163"/>
      <c r="B25" s="163"/>
    </row>
    <row r="26" spans="1:2" s="185" customFormat="1" ht="15">
      <c r="A26" s="163"/>
      <c r="B26" s="163"/>
    </row>
    <row r="27" spans="1:2" s="185" customFormat="1" ht="15">
      <c r="A27" s="163"/>
      <c r="B27" s="163"/>
    </row>
    <row r="28" spans="1:2" s="185" customFormat="1" ht="15">
      <c r="A28" s="163"/>
      <c r="B28" s="163"/>
    </row>
    <row r="29" spans="1:2" s="185" customFormat="1" ht="15">
      <c r="A29" s="163"/>
      <c r="B29" s="163"/>
    </row>
    <row r="30" spans="1:2" s="185" customFormat="1" ht="15">
      <c r="A30" s="163"/>
      <c r="B30" s="163"/>
    </row>
    <row r="31" spans="1:2" s="185" customFormat="1" ht="15">
      <c r="A31" s="163"/>
      <c r="B31" s="163"/>
    </row>
    <row r="32" spans="1:2" s="185" customFormat="1" ht="15">
      <c r="A32" s="163"/>
      <c r="B32" s="163"/>
    </row>
    <row r="33" spans="1:2" s="185" customFormat="1" ht="15">
      <c r="A33" s="163"/>
      <c r="B33" s="163"/>
    </row>
    <row r="34" spans="1:2" s="185" customFormat="1" ht="15">
      <c r="A34" s="163"/>
      <c r="B34" s="163"/>
    </row>
    <row r="35" spans="1:2" s="185" customFormat="1" ht="15">
      <c r="A35" s="163"/>
      <c r="B35" s="163"/>
    </row>
    <row r="36" spans="1:2" s="185" customFormat="1" ht="15">
      <c r="A36" s="163"/>
      <c r="B36" s="163"/>
    </row>
    <row r="37" spans="1:2" s="185" customFormat="1" ht="15">
      <c r="A37" s="163"/>
      <c r="B37" s="163"/>
    </row>
    <row r="38" spans="1:2" s="185" customFormat="1" ht="15">
      <c r="A38" s="163"/>
      <c r="B38" s="163"/>
    </row>
    <row r="39" spans="1:2" s="185" customFormat="1" ht="15">
      <c r="A39" s="163"/>
      <c r="B39" s="163"/>
    </row>
    <row r="40" spans="1:2" s="185" customFormat="1" ht="15">
      <c r="A40" s="163"/>
      <c r="B40" s="163"/>
    </row>
    <row r="41" spans="1:2" s="185" customFormat="1" ht="15">
      <c r="A41" s="163"/>
      <c r="B41" s="163"/>
    </row>
    <row r="42" spans="1:2" s="185" customFormat="1" ht="15">
      <c r="A42" s="163"/>
      <c r="B42" s="163"/>
    </row>
    <row r="43" spans="1:2" s="185" customFormat="1" ht="15">
      <c r="A43" s="163"/>
      <c r="B43" s="163"/>
    </row>
    <row r="44" spans="1:2" s="185" customFormat="1" ht="15">
      <c r="A44" s="163"/>
      <c r="B44" s="163"/>
    </row>
    <row r="45" spans="1:2" s="185" customFormat="1" ht="15">
      <c r="A45" s="163"/>
      <c r="B45" s="163"/>
    </row>
    <row r="46" spans="1:2" s="185" customFormat="1" ht="15">
      <c r="A46" s="163"/>
      <c r="B46" s="163"/>
    </row>
    <row r="47" spans="1:2" s="185" customFormat="1" ht="15">
      <c r="A47" s="163"/>
      <c r="B47" s="163"/>
    </row>
    <row r="48" spans="1:2" s="185" customFormat="1" ht="15">
      <c r="A48" s="163"/>
      <c r="B48" s="163"/>
    </row>
    <row r="49" spans="1:2" s="185" customFormat="1" ht="15">
      <c r="A49" s="163"/>
      <c r="B49" s="163"/>
    </row>
    <row r="50" spans="1:2" s="185" customFormat="1" ht="15">
      <c r="A50" s="163"/>
      <c r="B50" s="163"/>
    </row>
    <row r="51" spans="1:2" s="185" customFormat="1" ht="15">
      <c r="A51" s="163"/>
      <c r="B51" s="163"/>
    </row>
    <row r="52" spans="1:2" s="185" customFormat="1" ht="15">
      <c r="A52" s="163"/>
      <c r="B52" s="163"/>
    </row>
    <row r="53" spans="1:2" s="185" customFormat="1" ht="15">
      <c r="A53" s="163"/>
      <c r="B53" s="163"/>
    </row>
    <row r="54" spans="1:2" s="185" customFormat="1" ht="15">
      <c r="A54" s="163"/>
      <c r="B54" s="163"/>
    </row>
    <row r="55" spans="1:2" s="185" customFormat="1" ht="15">
      <c r="A55" s="163"/>
      <c r="B55" s="163"/>
    </row>
    <row r="56" spans="1:2" s="185" customFormat="1" ht="15">
      <c r="A56" s="163"/>
      <c r="B56" s="163"/>
    </row>
    <row r="57" spans="1:2" s="185" customFormat="1" ht="15">
      <c r="A57" s="163"/>
      <c r="B57" s="163"/>
    </row>
    <row r="58" spans="1:2" s="185" customFormat="1" ht="15">
      <c r="A58" s="163"/>
      <c r="B58" s="163"/>
    </row>
    <row r="59" spans="1:2" s="185" customFormat="1" ht="15">
      <c r="A59" s="163"/>
      <c r="B59" s="163"/>
    </row>
    <row r="60" spans="1:2" s="185" customFormat="1" ht="15">
      <c r="A60" s="163"/>
      <c r="B60" s="163"/>
    </row>
    <row r="61" spans="1:2" s="185" customFormat="1" ht="15">
      <c r="A61" s="163"/>
      <c r="B61" s="163"/>
    </row>
    <row r="62" spans="1:2" s="185" customFormat="1" ht="15">
      <c r="A62" s="163"/>
      <c r="B62" s="163"/>
    </row>
    <row r="63" spans="1:2" s="185" customFormat="1" ht="15">
      <c r="A63" s="163"/>
      <c r="B63" s="163"/>
    </row>
    <row r="64" spans="1:2" s="185" customFormat="1" ht="15">
      <c r="A64" s="163"/>
      <c r="B64" s="163"/>
    </row>
    <row r="65" spans="1:2" s="185" customFormat="1" ht="15">
      <c r="A65" s="163"/>
      <c r="B65" s="163"/>
    </row>
    <row r="66" spans="1:2" s="185" customFormat="1" ht="15">
      <c r="A66" s="163"/>
      <c r="B66" s="163"/>
    </row>
    <row r="67" spans="1:2" s="185" customFormat="1" ht="15">
      <c r="A67" s="163"/>
      <c r="B67" s="163"/>
    </row>
    <row r="68" spans="1:2" s="185" customFormat="1" ht="15">
      <c r="A68" s="163"/>
      <c r="B68" s="163"/>
    </row>
    <row r="69" spans="1:2" s="185" customFormat="1" ht="15">
      <c r="A69" s="163"/>
      <c r="B69" s="163"/>
    </row>
    <row r="70" spans="1:2" s="185" customFormat="1" ht="15">
      <c r="A70" s="163"/>
      <c r="B70" s="163"/>
    </row>
    <row r="71" spans="1:2" s="185" customFormat="1" ht="15">
      <c r="A71" s="163"/>
      <c r="B71" s="163"/>
    </row>
    <row r="72" spans="1:2" s="185" customFormat="1" ht="15">
      <c r="A72" s="163"/>
      <c r="B72" s="163"/>
    </row>
    <row r="73" spans="1:2" s="185" customFormat="1" ht="15">
      <c r="A73" s="163"/>
      <c r="B73" s="163"/>
    </row>
    <row r="74" spans="1:2" s="185" customFormat="1" ht="15">
      <c r="A74" s="163"/>
      <c r="B74" s="163"/>
    </row>
    <row r="75" spans="1:2" s="185" customFormat="1" ht="15">
      <c r="A75" s="163"/>
      <c r="B75" s="163"/>
    </row>
    <row r="76" spans="1:2" s="185" customFormat="1" ht="15">
      <c r="A76" s="163"/>
      <c r="B76" s="163"/>
    </row>
    <row r="77" spans="1:2" s="185" customFormat="1" ht="15">
      <c r="A77" s="163"/>
      <c r="B77" s="163"/>
    </row>
    <row r="78" spans="1:2" s="185" customFormat="1" ht="15">
      <c r="A78" s="163"/>
      <c r="B78" s="163"/>
    </row>
    <row r="79" spans="1:2" s="185" customFormat="1" ht="15">
      <c r="A79" s="163"/>
      <c r="B79" s="163"/>
    </row>
    <row r="80" spans="1:2" s="185" customFormat="1" ht="15">
      <c r="A80" s="163"/>
      <c r="B80" s="163"/>
    </row>
    <row r="81" spans="1:2" s="185" customFormat="1" ht="15">
      <c r="A81" s="163"/>
      <c r="B81" s="163"/>
    </row>
    <row r="82" spans="1:2" s="185" customFormat="1" ht="15">
      <c r="A82" s="163"/>
      <c r="B82" s="163"/>
    </row>
    <row r="83" spans="1:2" s="185" customFormat="1" ht="15">
      <c r="A83" s="163"/>
      <c r="B83" s="163"/>
    </row>
    <row r="84" spans="1:2" s="185" customFormat="1" ht="15">
      <c r="A84" s="163"/>
      <c r="B84" s="163"/>
    </row>
    <row r="85" spans="1:2" s="185" customFormat="1" ht="15">
      <c r="A85" s="163"/>
      <c r="B85" s="163"/>
    </row>
    <row r="86" spans="1:2" s="185" customFormat="1" ht="15">
      <c r="A86" s="163"/>
      <c r="B86" s="163"/>
    </row>
    <row r="87" spans="1:2" s="185" customFormat="1" ht="15">
      <c r="A87" s="163"/>
      <c r="B87" s="163"/>
    </row>
    <row r="88" spans="1:2" s="185" customFormat="1" ht="15">
      <c r="A88" s="163"/>
      <c r="B88" s="163"/>
    </row>
    <row r="89" spans="1:2" s="185" customFormat="1" ht="15">
      <c r="A89" s="163"/>
      <c r="B89" s="163"/>
    </row>
    <row r="90" spans="1:2" s="185" customFormat="1" ht="15">
      <c r="A90" s="163"/>
      <c r="B90" s="163"/>
    </row>
    <row r="91" spans="1:2" s="185" customFormat="1" ht="15">
      <c r="A91" s="163"/>
      <c r="B91" s="163"/>
    </row>
    <row r="92" spans="1:2" s="185" customFormat="1" ht="15">
      <c r="A92" s="163"/>
      <c r="B92" s="163"/>
    </row>
    <row r="93" spans="1:2" s="185" customFormat="1" ht="15">
      <c r="A93" s="163"/>
      <c r="B93" s="163"/>
    </row>
    <row r="94" spans="1:2" s="185" customFormat="1" ht="15">
      <c r="A94" s="163"/>
      <c r="B94" s="163"/>
    </row>
    <row r="95" spans="1:2" s="185" customFormat="1" ht="15">
      <c r="A95" s="163"/>
      <c r="B95" s="163"/>
    </row>
    <row r="96" spans="1:2" s="185" customFormat="1" ht="15">
      <c r="A96" s="163"/>
      <c r="B96" s="163"/>
    </row>
    <row r="97" spans="1:2" s="185" customFormat="1" ht="15">
      <c r="A97" s="163"/>
      <c r="B97" s="163"/>
    </row>
    <row r="98" spans="1:2" s="185" customFormat="1" ht="15">
      <c r="A98" s="163"/>
      <c r="B98" s="163"/>
    </row>
    <row r="99" spans="1:2" s="185" customFormat="1" ht="15">
      <c r="A99" s="163"/>
      <c r="B99" s="163"/>
    </row>
    <row r="100" spans="1:2" s="185" customFormat="1" ht="15">
      <c r="A100" s="163"/>
      <c r="B100" s="163"/>
    </row>
    <row r="101" spans="1:2" s="185" customFormat="1" ht="15">
      <c r="A101" s="163"/>
      <c r="B101" s="163"/>
    </row>
    <row r="102" spans="1:2" s="185" customFormat="1" ht="15">
      <c r="A102" s="163"/>
      <c r="B102" s="163"/>
    </row>
    <row r="103" spans="1:2" s="185" customFormat="1" ht="15">
      <c r="A103" s="163"/>
      <c r="B103" s="163"/>
    </row>
    <row r="104" spans="1:2" s="185" customFormat="1" ht="15">
      <c r="A104" s="163"/>
      <c r="B104" s="163"/>
    </row>
    <row r="105" spans="1:2" s="185" customFormat="1" ht="15">
      <c r="A105" s="163"/>
      <c r="B105" s="163"/>
    </row>
    <row r="106" spans="1:2" s="185" customFormat="1" ht="15">
      <c r="A106" s="163"/>
      <c r="B106" s="163"/>
    </row>
    <row r="107" spans="1:2" s="185" customFormat="1" ht="15">
      <c r="A107" s="163"/>
      <c r="B107" s="163"/>
    </row>
    <row r="108" spans="1:2" s="185" customFormat="1" ht="15">
      <c r="A108" s="163"/>
      <c r="B108" s="163"/>
    </row>
    <row r="109" spans="1:2" s="185" customFormat="1" ht="15">
      <c r="A109" s="163"/>
      <c r="B109" s="163"/>
    </row>
    <row r="110" spans="1:2" s="185" customFormat="1" ht="15">
      <c r="A110" s="163"/>
      <c r="B110" s="163"/>
    </row>
    <row r="111" spans="1:2" s="185" customFormat="1" ht="15">
      <c r="A111" s="163"/>
      <c r="B111" s="163"/>
    </row>
    <row r="112" spans="1:2" s="185" customFormat="1" ht="15">
      <c r="A112" s="163"/>
      <c r="B112" s="163"/>
    </row>
    <row r="113" spans="1:2" s="185" customFormat="1" ht="15">
      <c r="A113" s="163"/>
      <c r="B113" s="163"/>
    </row>
    <row r="114" spans="1:2" s="185" customFormat="1" ht="15">
      <c r="A114" s="163"/>
      <c r="B114" s="163"/>
    </row>
    <row r="115" spans="1:2" s="185" customFormat="1" ht="15">
      <c r="A115" s="163"/>
      <c r="B115" s="163"/>
    </row>
    <row r="116" spans="1:2" s="185" customFormat="1" ht="15">
      <c r="A116" s="163"/>
      <c r="B116" s="163"/>
    </row>
    <row r="117" spans="1:2" s="185" customFormat="1" ht="15">
      <c r="A117" s="163"/>
      <c r="B117" s="163"/>
    </row>
    <row r="118" spans="1:2" s="185" customFormat="1" ht="15">
      <c r="A118" s="163"/>
      <c r="B118" s="163"/>
    </row>
    <row r="119" spans="1:2" s="185" customFormat="1" ht="15">
      <c r="A119" s="163"/>
      <c r="B119" s="163"/>
    </row>
    <row r="120" spans="1:2" s="185" customFormat="1" ht="15">
      <c r="A120" s="163"/>
      <c r="B120" s="163"/>
    </row>
    <row r="121" spans="1:2" s="185" customFormat="1" ht="15">
      <c r="A121" s="163"/>
      <c r="B121" s="163"/>
    </row>
    <row r="122" spans="1:2" s="185" customFormat="1" ht="15">
      <c r="A122" s="163"/>
      <c r="B122" s="163"/>
    </row>
    <row r="123" spans="1:2" s="185" customFormat="1" ht="15">
      <c r="A123" s="163"/>
      <c r="B123" s="163"/>
    </row>
    <row r="124" spans="1:2" s="185" customFormat="1" ht="15">
      <c r="A124" s="163"/>
      <c r="B124" s="163"/>
    </row>
    <row r="125" spans="1:2" s="185" customFormat="1" ht="15">
      <c r="A125" s="163"/>
      <c r="B125" s="163"/>
    </row>
    <row r="126" spans="1:2" s="185" customFormat="1" ht="15">
      <c r="A126" s="163"/>
      <c r="B126" s="163"/>
    </row>
    <row r="127" spans="1:2" s="185" customFormat="1" ht="15">
      <c r="A127" s="163"/>
      <c r="B127" s="163"/>
    </row>
    <row r="128" spans="1:2" s="185" customFormat="1" ht="15">
      <c r="A128" s="163"/>
      <c r="B128" s="163"/>
    </row>
    <row r="129" spans="1:2" s="185" customFormat="1" ht="15">
      <c r="A129" s="163"/>
      <c r="B129" s="163"/>
    </row>
    <row r="130" spans="1:2" s="185" customFormat="1" ht="15">
      <c r="A130" s="163"/>
      <c r="B130" s="163"/>
    </row>
    <row r="131" spans="1:2" s="185" customFormat="1" ht="15">
      <c r="A131" s="163"/>
      <c r="B131" s="163"/>
    </row>
    <row r="132" spans="1:2" s="185" customFormat="1" ht="15">
      <c r="A132" s="163"/>
      <c r="B132" s="163"/>
    </row>
    <row r="133" spans="1:2" s="185" customFormat="1" ht="15">
      <c r="A133" s="163"/>
      <c r="B133" s="163"/>
    </row>
    <row r="134" spans="1:2" s="185" customFormat="1" ht="15">
      <c r="A134" s="163"/>
      <c r="B134" s="163"/>
    </row>
    <row r="135" spans="1:2" s="185" customFormat="1" ht="15">
      <c r="A135" s="163"/>
      <c r="B135" s="163"/>
    </row>
    <row r="136" spans="1:2" s="185" customFormat="1" ht="15">
      <c r="A136" s="163"/>
      <c r="B136" s="163"/>
    </row>
    <row r="137" spans="1:2" s="185" customFormat="1" ht="15">
      <c r="A137" s="163"/>
      <c r="B137" s="163"/>
    </row>
    <row r="138" spans="1:2" s="185" customFormat="1" ht="15">
      <c r="A138" s="163"/>
      <c r="B138" s="163"/>
    </row>
    <row r="139" spans="1:2" s="185" customFormat="1" ht="15">
      <c r="A139" s="163"/>
      <c r="B139" s="163"/>
    </row>
    <row r="140" spans="1:2" s="185" customFormat="1" ht="15">
      <c r="A140" s="163"/>
      <c r="B140" s="163"/>
    </row>
    <row r="141" spans="1:2" s="185" customFormat="1" ht="15">
      <c r="A141" s="163"/>
      <c r="B141" s="163"/>
    </row>
    <row r="142" spans="1:2" s="185" customFormat="1" ht="15">
      <c r="A142" s="163"/>
      <c r="B142" s="163"/>
    </row>
    <row r="143" spans="1:2" s="185" customFormat="1" ht="15">
      <c r="A143" s="163"/>
      <c r="B143" s="163"/>
    </row>
    <row r="144" spans="1:2" s="185" customFormat="1" ht="15">
      <c r="A144" s="163"/>
      <c r="B144" s="163"/>
    </row>
    <row r="145" spans="1:2" s="185" customFormat="1" ht="15">
      <c r="A145" s="163"/>
      <c r="B145" s="163"/>
    </row>
    <row r="146" spans="1:2" s="185" customFormat="1" ht="15">
      <c r="A146" s="163"/>
      <c r="B146" s="163"/>
    </row>
    <row r="147" spans="1:2" s="185" customFormat="1" ht="15">
      <c r="A147" s="163"/>
      <c r="B147" s="163"/>
    </row>
    <row r="148" spans="1:2" s="185" customFormat="1" ht="15">
      <c r="A148" s="163"/>
      <c r="B148" s="163"/>
    </row>
    <row r="149" spans="1:2" s="185" customFormat="1" ht="15">
      <c r="A149" s="163"/>
      <c r="B149" s="163"/>
    </row>
    <row r="150" spans="1:2" s="185" customFormat="1" ht="15">
      <c r="A150" s="163"/>
      <c r="B150" s="163"/>
    </row>
    <row r="151" spans="1:2" s="185" customFormat="1" ht="15">
      <c r="A151" s="163"/>
      <c r="B151" s="163"/>
    </row>
    <row r="152" spans="1:2" s="185" customFormat="1" ht="15">
      <c r="A152" s="163"/>
      <c r="B152" s="163"/>
    </row>
    <row r="153" spans="1:2" s="185" customFormat="1" ht="15">
      <c r="A153" s="163"/>
      <c r="B153" s="163"/>
    </row>
    <row r="154" spans="1:2" s="185" customFormat="1" ht="15">
      <c r="A154" s="163"/>
      <c r="B154" s="163"/>
    </row>
    <row r="155" spans="1:2" s="185" customFormat="1" ht="15">
      <c r="A155" s="163"/>
      <c r="B155" s="163"/>
    </row>
    <row r="156" spans="1:2" s="185" customFormat="1" ht="15">
      <c r="A156" s="163"/>
      <c r="B156" s="163"/>
    </row>
    <row r="157" spans="1:2" s="185" customFormat="1" ht="15">
      <c r="A157" s="163"/>
      <c r="B157" s="163"/>
    </row>
    <row r="158" spans="1:2" s="185" customFormat="1" ht="15">
      <c r="A158" s="163"/>
      <c r="B158" s="163"/>
    </row>
    <row r="159" spans="1:2" s="185" customFormat="1" ht="15">
      <c r="A159" s="163"/>
      <c r="B159" s="163"/>
    </row>
    <row r="160" spans="1:2" s="185" customFormat="1" ht="15">
      <c r="A160" s="163"/>
      <c r="B160" s="163"/>
    </row>
    <row r="161" spans="1:2" s="185" customFormat="1" ht="15">
      <c r="A161" s="163"/>
      <c r="B161" s="163"/>
    </row>
    <row r="162" spans="1:2" s="185" customFormat="1" ht="15">
      <c r="A162" s="163"/>
      <c r="B162" s="163"/>
    </row>
    <row r="163" spans="1:2" s="185" customFormat="1" ht="15">
      <c r="A163" s="163"/>
      <c r="B163" s="163"/>
    </row>
    <row r="164" spans="1:2" s="185" customFormat="1" ht="15">
      <c r="A164" s="163"/>
      <c r="B164" s="163"/>
    </row>
    <row r="165" spans="1:2" s="185" customFormat="1" ht="15">
      <c r="A165" s="163"/>
      <c r="B165" s="163"/>
    </row>
    <row r="166" spans="1:2" s="185" customFormat="1" ht="15">
      <c r="A166" s="163"/>
      <c r="B166" s="163"/>
    </row>
    <row r="167" spans="1:2" s="185" customFormat="1" ht="15">
      <c r="A167" s="163"/>
      <c r="B167" s="163"/>
    </row>
    <row r="168" spans="1:2" s="185" customFormat="1" ht="15">
      <c r="A168" s="163"/>
      <c r="B168" s="163"/>
    </row>
    <row r="169" spans="1:2" s="185" customFormat="1" ht="15">
      <c r="A169" s="163"/>
      <c r="B169" s="163"/>
    </row>
    <row r="170" spans="1:2" s="185" customFormat="1" ht="15">
      <c r="A170" s="163"/>
      <c r="B170" s="163"/>
    </row>
    <row r="171" spans="1:2" s="185" customFormat="1" ht="15">
      <c r="A171" s="163"/>
      <c r="B171" s="163"/>
    </row>
    <row r="172" spans="1:2" s="185" customFormat="1" ht="15">
      <c r="A172" s="163"/>
      <c r="B172" s="163"/>
    </row>
    <row r="173" spans="1:2" s="185" customFormat="1" ht="15">
      <c r="A173" s="163"/>
      <c r="B173" s="163"/>
    </row>
    <row r="174" spans="1:2" s="185" customFormat="1" ht="15">
      <c r="A174" s="163"/>
      <c r="B174" s="163"/>
    </row>
    <row r="175" spans="1:2" s="185" customFormat="1" ht="15">
      <c r="A175" s="163"/>
      <c r="B175" s="163"/>
    </row>
    <row r="176" spans="1:2" s="185" customFormat="1" ht="15">
      <c r="A176" s="163"/>
      <c r="B176" s="163"/>
    </row>
    <row r="177" spans="1:2" s="185" customFormat="1" ht="15">
      <c r="A177" s="163"/>
      <c r="B177" s="163"/>
    </row>
    <row r="178" spans="1:2" s="185" customFormat="1" ht="15">
      <c r="A178" s="163"/>
      <c r="B178" s="163"/>
    </row>
    <row r="179" spans="1:2" s="185" customFormat="1" ht="15">
      <c r="A179" s="163"/>
      <c r="B179" s="163"/>
    </row>
    <row r="180" spans="1:2" s="185" customFormat="1" ht="15">
      <c r="A180" s="163"/>
      <c r="B180" s="163"/>
    </row>
    <row r="181" spans="1:2" s="185" customFormat="1" ht="15">
      <c r="A181" s="163"/>
      <c r="B181" s="163"/>
    </row>
    <row r="182" spans="1:2" s="185" customFormat="1" ht="15">
      <c r="A182" s="163"/>
      <c r="B182" s="163"/>
    </row>
    <row r="183" spans="1:2" s="185" customFormat="1" ht="15">
      <c r="A183" s="163"/>
      <c r="B183" s="163"/>
    </row>
    <row r="184" spans="1:2" s="185" customFormat="1" ht="15">
      <c r="A184" s="163"/>
      <c r="B184" s="163"/>
    </row>
    <row r="185" spans="1:2" s="185" customFormat="1" ht="15">
      <c r="A185" s="163"/>
      <c r="B185" s="163"/>
    </row>
    <row r="186" spans="1:2" s="185" customFormat="1" ht="15">
      <c r="A186" s="163"/>
      <c r="B186" s="163"/>
    </row>
    <row r="187" spans="1:2" s="185" customFormat="1" ht="15">
      <c r="A187" s="163"/>
      <c r="B187" s="163"/>
    </row>
    <row r="188" spans="1:2" s="185" customFormat="1" ht="15">
      <c r="A188" s="163"/>
      <c r="B188" s="163"/>
    </row>
    <row r="189" spans="1:2" s="185" customFormat="1" ht="15">
      <c r="A189" s="163"/>
      <c r="B189" s="163"/>
    </row>
    <row r="190" spans="1:2" s="185" customFormat="1" ht="15">
      <c r="A190" s="163"/>
      <c r="B190" s="163"/>
    </row>
    <row r="191" spans="1:2" s="185" customFormat="1" ht="15">
      <c r="A191" s="163"/>
      <c r="B191" s="163"/>
    </row>
    <row r="192" spans="1:2" s="185" customFormat="1" ht="15">
      <c r="A192" s="163"/>
      <c r="B192" s="163"/>
    </row>
    <row r="193" spans="1:2" s="185" customFormat="1" ht="15">
      <c r="A193" s="163"/>
      <c r="B193" s="163"/>
    </row>
    <row r="194" spans="1:2" s="185" customFormat="1" ht="15">
      <c r="A194" s="163"/>
      <c r="B194" s="163"/>
    </row>
    <row r="195" spans="1:2" s="185" customFormat="1" ht="15">
      <c r="A195" s="163"/>
      <c r="B195" s="163"/>
    </row>
    <row r="196" spans="1:2" s="185" customFormat="1" ht="15">
      <c r="A196" s="163"/>
      <c r="B196" s="163"/>
    </row>
    <row r="197" spans="1:2" s="185" customFormat="1" ht="15">
      <c r="A197" s="163"/>
      <c r="B197" s="163"/>
    </row>
    <row r="198" spans="1:2" s="185" customFormat="1" ht="15">
      <c r="A198" s="163"/>
      <c r="B198" s="163"/>
    </row>
    <row r="199" spans="1:2" s="185" customFormat="1" ht="15">
      <c r="A199" s="163"/>
      <c r="B199" s="163"/>
    </row>
    <row r="200" spans="1:2" s="185" customFormat="1" ht="15">
      <c r="A200" s="163"/>
      <c r="B200" s="163"/>
    </row>
    <row r="201" spans="1:2" s="185" customFormat="1" ht="15">
      <c r="A201" s="163"/>
      <c r="B201" s="163"/>
    </row>
    <row r="202" spans="1:2" s="185" customFormat="1" ht="15">
      <c r="A202" s="163"/>
      <c r="B202" s="163"/>
    </row>
    <row r="203" spans="1:2" s="185" customFormat="1" ht="15">
      <c r="A203" s="163"/>
      <c r="B203" s="163"/>
    </row>
    <row r="204" spans="1:2" s="185" customFormat="1" ht="15">
      <c r="A204" s="163"/>
      <c r="B204" s="163"/>
    </row>
    <row r="205" spans="1:2" s="185" customFormat="1" ht="15">
      <c r="A205" s="163"/>
      <c r="B205" s="163"/>
    </row>
    <row r="206" spans="1:2" s="185" customFormat="1" ht="15">
      <c r="A206" s="163"/>
      <c r="B206" s="163"/>
    </row>
    <row r="207" spans="1:2" s="185" customFormat="1" ht="15">
      <c r="A207" s="163"/>
      <c r="B207" s="163"/>
    </row>
    <row r="208" spans="1:2" s="185" customFormat="1" ht="15">
      <c r="A208" s="163"/>
      <c r="B208" s="163"/>
    </row>
    <row r="209" spans="1:2" s="185" customFormat="1" ht="15">
      <c r="A209" s="163"/>
      <c r="B209" s="163"/>
    </row>
    <row r="210" spans="1:2" s="185" customFormat="1" ht="15">
      <c r="A210" s="163"/>
      <c r="B210" s="163"/>
    </row>
    <row r="211" spans="1:2" s="185" customFormat="1" ht="15">
      <c r="A211" s="163"/>
      <c r="B211" s="163"/>
    </row>
    <row r="212" spans="1:2" s="185" customFormat="1" ht="15">
      <c r="A212" s="163"/>
      <c r="B212" s="163"/>
    </row>
    <row r="213" spans="1:2" s="185" customFormat="1" ht="15">
      <c r="A213" s="163"/>
      <c r="B213" s="163"/>
    </row>
    <row r="214" spans="1:2" s="185" customFormat="1" ht="15">
      <c r="A214" s="163"/>
      <c r="B214" s="163"/>
    </row>
    <row r="215" spans="1:2" s="185" customFormat="1" ht="15">
      <c r="A215" s="163"/>
      <c r="B215" s="163"/>
    </row>
    <row r="216" spans="1:2" s="185" customFormat="1" ht="15">
      <c r="A216" s="163"/>
      <c r="B216" s="163"/>
    </row>
    <row r="217" spans="1:2" s="185" customFormat="1" ht="15">
      <c r="A217" s="163"/>
      <c r="B217" s="163"/>
    </row>
    <row r="218" spans="1:2" s="185" customFormat="1" ht="15">
      <c r="A218" s="163"/>
      <c r="B218" s="163"/>
    </row>
    <row r="219" spans="1:2" s="185" customFormat="1" ht="15">
      <c r="A219" s="163"/>
      <c r="B219" s="163"/>
    </row>
    <row r="220" spans="1:2" s="185" customFormat="1" ht="15">
      <c r="A220" s="163"/>
      <c r="B220" s="163"/>
    </row>
    <row r="221" spans="1:2" s="185" customFormat="1" ht="15">
      <c r="A221" s="163"/>
      <c r="B221" s="163"/>
    </row>
    <row r="222" spans="1:2" s="185" customFormat="1" ht="15">
      <c r="A222" s="163"/>
      <c r="B222" s="163"/>
    </row>
    <row r="223" spans="1:2" s="185" customFormat="1" ht="15">
      <c r="A223" s="163"/>
      <c r="B223" s="163"/>
    </row>
    <row r="224" spans="1:2" s="185" customFormat="1" ht="15">
      <c r="A224" s="163"/>
      <c r="B224" s="163"/>
    </row>
    <row r="225" spans="1:2" s="185" customFormat="1" ht="15">
      <c r="A225" s="163"/>
      <c r="B225" s="163"/>
    </row>
    <row r="226" spans="1:2" s="185" customFormat="1" ht="15">
      <c r="A226" s="163"/>
      <c r="B226" s="163"/>
    </row>
    <row r="227" spans="1:2" s="185" customFormat="1" ht="15">
      <c r="A227" s="163"/>
      <c r="B227" s="163"/>
    </row>
    <row r="228" spans="1:2" s="185" customFormat="1" ht="15">
      <c r="A228" s="163"/>
      <c r="B228" s="163"/>
    </row>
    <row r="229" spans="1:2" s="185" customFormat="1" ht="15">
      <c r="A229" s="163"/>
      <c r="B229" s="163"/>
    </row>
    <row r="230" spans="1:2" s="185" customFormat="1" ht="15">
      <c r="A230" s="163"/>
      <c r="B230" s="163"/>
    </row>
    <row r="231" spans="1:2" s="185" customFormat="1" ht="15">
      <c r="A231" s="163"/>
      <c r="B231" s="163"/>
    </row>
    <row r="232" spans="1:2" s="185" customFormat="1" ht="15">
      <c r="A232" s="163"/>
      <c r="B232" s="163"/>
    </row>
    <row r="233" spans="1:2" s="185" customFormat="1" ht="15">
      <c r="A233" s="163"/>
      <c r="B233" s="163"/>
    </row>
    <row r="234" spans="1:2" s="185" customFormat="1" ht="15">
      <c r="A234" s="163"/>
      <c r="B234" s="163"/>
    </row>
    <row r="235" spans="1:2" s="185" customFormat="1" ht="15">
      <c r="A235" s="163"/>
      <c r="B235" s="163"/>
    </row>
    <row r="236" spans="1:2" s="185" customFormat="1" ht="15">
      <c r="A236" s="163"/>
      <c r="B236" s="163"/>
    </row>
    <row r="237" spans="1:2" s="185" customFormat="1" ht="15">
      <c r="A237" s="163"/>
      <c r="B237" s="163"/>
    </row>
    <row r="238" spans="1:2" s="185" customFormat="1" ht="15">
      <c r="A238" s="163"/>
      <c r="B238" s="163"/>
    </row>
    <row r="239" spans="1:2" s="185" customFormat="1" ht="15">
      <c r="A239" s="163"/>
      <c r="B239" s="163"/>
    </row>
    <row r="240" spans="1:2" s="185" customFormat="1" ht="15">
      <c r="A240" s="163"/>
      <c r="B240" s="163"/>
    </row>
    <row r="241" spans="1:2" s="185" customFormat="1" ht="15">
      <c r="A241" s="163"/>
      <c r="B241" s="163"/>
    </row>
    <row r="242" spans="1:2" s="185" customFormat="1" ht="15">
      <c r="A242" s="163"/>
      <c r="B242" s="163"/>
    </row>
    <row r="243" spans="1:2" s="185" customFormat="1" ht="15">
      <c r="A243" s="163"/>
      <c r="B243" s="163"/>
    </row>
    <row r="244" spans="1:2" s="185" customFormat="1" ht="15">
      <c r="A244" s="163"/>
      <c r="B244" s="163"/>
    </row>
    <row r="245" spans="1:2" s="185" customFormat="1" ht="15">
      <c r="A245" s="163"/>
      <c r="B245" s="163"/>
    </row>
    <row r="246" spans="1:2" s="185" customFormat="1" ht="15">
      <c r="A246" s="163"/>
      <c r="B246" s="163"/>
    </row>
    <row r="247" spans="1:2" s="185" customFormat="1" ht="15">
      <c r="A247" s="163"/>
      <c r="B247" s="163"/>
    </row>
    <row r="248" spans="1:2" s="185" customFormat="1" ht="15">
      <c r="A248" s="163"/>
      <c r="B248" s="163"/>
    </row>
    <row r="249" spans="1:2" s="185" customFormat="1" ht="15">
      <c r="A249" s="163"/>
      <c r="B249" s="163"/>
    </row>
    <row r="250" spans="1:2" s="185" customFormat="1" ht="15">
      <c r="A250" s="163"/>
      <c r="B250" s="163"/>
    </row>
    <row r="251" spans="1:2" s="185" customFormat="1" ht="15">
      <c r="A251" s="163"/>
      <c r="B251" s="163"/>
    </row>
    <row r="252" spans="1:2" s="185" customFormat="1" ht="15">
      <c r="A252" s="163"/>
      <c r="B252" s="163"/>
    </row>
    <row r="253" spans="1:2" s="185" customFormat="1" ht="15">
      <c r="A253" s="163"/>
      <c r="B253" s="163"/>
    </row>
    <row r="254" spans="1:2" s="185" customFormat="1" ht="15">
      <c r="A254" s="163"/>
      <c r="B254" s="163"/>
    </row>
    <row r="255" spans="1:2" s="185" customFormat="1" ht="15">
      <c r="A255" s="163"/>
      <c r="B255" s="163"/>
    </row>
    <row r="256" spans="1:2" s="185" customFormat="1" ht="15">
      <c r="A256" s="163"/>
      <c r="B256" s="163"/>
    </row>
    <row r="257" spans="1:2" s="185" customFormat="1" ht="15">
      <c r="A257" s="163"/>
      <c r="B257" s="163"/>
    </row>
    <row r="258" spans="1:2" s="185" customFormat="1" ht="15">
      <c r="A258" s="163"/>
      <c r="B258" s="163"/>
    </row>
    <row r="259" spans="1:2" s="185" customFormat="1" ht="15">
      <c r="A259" s="163"/>
      <c r="B259" s="163"/>
    </row>
    <row r="260" spans="1:2" s="185" customFormat="1" ht="15">
      <c r="A260" s="163"/>
      <c r="B260" s="163"/>
    </row>
    <row r="261" spans="1:2" s="185" customFormat="1" ht="15">
      <c r="A261" s="163"/>
      <c r="B261" s="163"/>
    </row>
    <row r="262" spans="1:2" s="185" customFormat="1" ht="15">
      <c r="A262" s="163"/>
      <c r="B262" s="163"/>
    </row>
    <row r="263" spans="1:2" s="185" customFormat="1" ht="15">
      <c r="A263" s="163"/>
      <c r="B263" s="163"/>
    </row>
    <row r="264" spans="1:2" s="185" customFormat="1" ht="15">
      <c r="A264" s="163"/>
      <c r="B264" s="163"/>
    </row>
    <row r="265" spans="1:2" s="185" customFormat="1" ht="15">
      <c r="A265" s="163"/>
      <c r="B265" s="163"/>
    </row>
    <row r="266" spans="1:2" s="185" customFormat="1" ht="15">
      <c r="A266" s="163"/>
      <c r="B266" s="163"/>
    </row>
    <row r="267" spans="1:2" s="185" customFormat="1" ht="15">
      <c r="A267" s="163"/>
      <c r="B267" s="163"/>
    </row>
    <row r="268" spans="1:2" s="185" customFormat="1" ht="15">
      <c r="A268" s="163"/>
      <c r="B268" s="163"/>
    </row>
    <row r="269" spans="1:2" s="185" customFormat="1" ht="15">
      <c r="A269" s="163"/>
      <c r="B269" s="163"/>
    </row>
    <row r="270" spans="1:2" s="185" customFormat="1" ht="15">
      <c r="A270" s="163"/>
      <c r="B270" s="163"/>
    </row>
    <row r="271" spans="1:2" s="185" customFormat="1" ht="15">
      <c r="A271" s="163"/>
      <c r="B271" s="163"/>
    </row>
    <row r="272" spans="1:2" s="185" customFormat="1" ht="15">
      <c r="A272" s="163"/>
      <c r="B272" s="163"/>
    </row>
    <row r="273" spans="1:2" s="185" customFormat="1" ht="15">
      <c r="A273" s="163"/>
      <c r="B273" s="163"/>
    </row>
    <row r="274" spans="1:2" s="185" customFormat="1" ht="15">
      <c r="A274" s="163"/>
      <c r="B274" s="163"/>
    </row>
    <row r="275" spans="1:2" s="185" customFormat="1" ht="15">
      <c r="A275" s="163"/>
      <c r="B275" s="163"/>
    </row>
    <row r="276" spans="1:2" s="185" customFormat="1" ht="15">
      <c r="A276" s="163"/>
      <c r="B276" s="163"/>
    </row>
    <row r="277" spans="1:2" s="185" customFormat="1" ht="15">
      <c r="A277" s="163"/>
      <c r="B277" s="163"/>
    </row>
    <row r="278" spans="1:2" s="185" customFormat="1" ht="15">
      <c r="A278" s="163"/>
      <c r="B278" s="163"/>
    </row>
    <row r="279" spans="1:2" s="185" customFormat="1" ht="15">
      <c r="A279" s="163"/>
      <c r="B279" s="163"/>
    </row>
    <row r="280" spans="1:2" s="185" customFormat="1" ht="15">
      <c r="A280" s="163"/>
      <c r="B280" s="163"/>
    </row>
    <row r="281" spans="1:2" s="185" customFormat="1" ht="15">
      <c r="A281" s="163"/>
      <c r="B281" s="163"/>
    </row>
    <row r="282" spans="1:2" s="185" customFormat="1" ht="15">
      <c r="A282" s="163"/>
      <c r="B282" s="163"/>
    </row>
    <row r="283" spans="1:2" s="185" customFormat="1" ht="15">
      <c r="A283" s="163"/>
      <c r="B283" s="163"/>
    </row>
    <row r="284" spans="1:2" s="185" customFormat="1" ht="15">
      <c r="A284" s="163"/>
      <c r="B284" s="163"/>
    </row>
    <row r="285" spans="1:2" s="185" customFormat="1" ht="15">
      <c r="A285" s="163"/>
      <c r="B285" s="163"/>
    </row>
    <row r="286" spans="1:2" s="185" customFormat="1" ht="15">
      <c r="A286" s="163"/>
      <c r="B286" s="163"/>
    </row>
    <row r="287" spans="1:2" s="185" customFormat="1" ht="15">
      <c r="A287" s="163"/>
      <c r="B287" s="163"/>
    </row>
    <row r="288" spans="1:2" s="185" customFormat="1" ht="15">
      <c r="A288" s="163"/>
      <c r="B288" s="163"/>
    </row>
    <row r="289" spans="1:2" s="185" customFormat="1" ht="15">
      <c r="A289" s="163"/>
      <c r="B289" s="163"/>
    </row>
    <row r="290" spans="1:2" s="185" customFormat="1" ht="15">
      <c r="A290" s="163"/>
      <c r="B290" s="163"/>
    </row>
    <row r="291" spans="1:2" s="185" customFormat="1" ht="15">
      <c r="A291" s="163"/>
      <c r="B291" s="163"/>
    </row>
    <row r="292" spans="1:2" s="185" customFormat="1" ht="15">
      <c r="A292" s="163"/>
      <c r="B292" s="163"/>
    </row>
    <row r="293" spans="1:2" s="185" customFormat="1" ht="15">
      <c r="A293" s="163"/>
      <c r="B293" s="163"/>
    </row>
    <row r="294" spans="1:2" s="185" customFormat="1" ht="15">
      <c r="A294" s="163"/>
      <c r="B294" s="163"/>
    </row>
    <row r="295" spans="1:2" s="185" customFormat="1" ht="15">
      <c r="A295" s="163"/>
      <c r="B295" s="163"/>
    </row>
    <row r="296" spans="1:2" s="185" customFormat="1" ht="15">
      <c r="A296" s="163"/>
      <c r="B296" s="163"/>
    </row>
    <row r="297" spans="1:2" s="185" customFormat="1" ht="15">
      <c r="A297" s="163"/>
      <c r="B297" s="163"/>
    </row>
    <row r="298" spans="1:2" s="185" customFormat="1" ht="15">
      <c r="A298" s="163"/>
      <c r="B298" s="163"/>
    </row>
    <row r="299" spans="1:2" s="185" customFormat="1" ht="15">
      <c r="A299" s="163"/>
      <c r="B299" s="163"/>
    </row>
    <row r="300" spans="1:2" s="185" customFormat="1" ht="15">
      <c r="A300" s="163"/>
      <c r="B300" s="163"/>
    </row>
    <row r="301" spans="1:2" s="185" customFormat="1" ht="15">
      <c r="A301" s="163"/>
      <c r="B301" s="163"/>
    </row>
    <row r="302" spans="1:2" s="185" customFormat="1" ht="15">
      <c r="A302" s="163"/>
      <c r="B302" s="163"/>
    </row>
    <row r="303" spans="1:2" s="185" customFormat="1" ht="15">
      <c r="A303" s="163"/>
      <c r="B303" s="163"/>
    </row>
    <row r="304" spans="1:2" s="185" customFormat="1" ht="15">
      <c r="A304" s="163"/>
      <c r="B304" s="163"/>
    </row>
    <row r="305" spans="1:2" s="185" customFormat="1" ht="15">
      <c r="A305" s="163"/>
      <c r="B305" s="163"/>
    </row>
    <row r="306" spans="1:2" s="185" customFormat="1" ht="15">
      <c r="A306" s="163"/>
      <c r="B306" s="163"/>
    </row>
    <row r="307" spans="1:2" s="185" customFormat="1" ht="15">
      <c r="A307" s="163"/>
      <c r="B307" s="163"/>
    </row>
    <row r="308" spans="1:2" s="185" customFormat="1" ht="15">
      <c r="A308" s="163"/>
      <c r="B308" s="163"/>
    </row>
    <row r="309" spans="1:2" s="185" customFormat="1" ht="15">
      <c r="A309" s="163"/>
      <c r="B309" s="163"/>
    </row>
    <row r="310" spans="1:2" s="185" customFormat="1" ht="15">
      <c r="A310" s="163"/>
      <c r="B310" s="163"/>
    </row>
    <row r="311" spans="1:2" s="185" customFormat="1" ht="15">
      <c r="A311" s="163"/>
      <c r="B311" s="163"/>
    </row>
    <row r="312" spans="1:2" s="185" customFormat="1" ht="15">
      <c r="A312" s="163"/>
      <c r="B312" s="163"/>
    </row>
    <row r="313" spans="1:2" s="185" customFormat="1" ht="15">
      <c r="A313" s="163"/>
      <c r="B313" s="163"/>
    </row>
    <row r="314" spans="1:2" s="185" customFormat="1" ht="15">
      <c r="A314" s="163"/>
      <c r="B314" s="163"/>
    </row>
    <row r="315" spans="1:2" s="185" customFormat="1" ht="15">
      <c r="A315" s="163"/>
      <c r="B315" s="163"/>
    </row>
    <row r="316" spans="1:2" s="185" customFormat="1" ht="15">
      <c r="A316" s="163"/>
      <c r="B316" s="163"/>
    </row>
    <row r="317" spans="1:2" s="185" customFormat="1" ht="15">
      <c r="A317" s="163"/>
      <c r="B317" s="163"/>
    </row>
    <row r="318" spans="1:2" s="185" customFormat="1" ht="15">
      <c r="A318" s="163"/>
      <c r="B318" s="163"/>
    </row>
    <row r="319" spans="1:2" s="185" customFormat="1" ht="15">
      <c r="A319" s="163"/>
      <c r="B319" s="163"/>
    </row>
    <row r="320" spans="1:2" s="185" customFormat="1" ht="15">
      <c r="A320" s="163"/>
      <c r="B320" s="163"/>
    </row>
  </sheetData>
  <sheetProtection/>
  <mergeCells count="1">
    <mergeCell ref="A7:V7"/>
  </mergeCells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3"/>
  <sheetViews>
    <sheetView showZeros="0" view="pageBreakPreview" zoomScale="75" zoomScaleSheetLayoutView="75" zoomScalePageLayoutView="0" workbookViewId="0" topLeftCell="A1">
      <selection activeCell="A18" sqref="A18"/>
    </sheetView>
  </sheetViews>
  <sheetFormatPr defaultColWidth="9.00390625" defaultRowHeight="12.75"/>
  <cols>
    <col min="1" max="1" width="40.75390625" style="12" customWidth="1"/>
    <col min="2" max="2" width="10.75390625" style="136" customWidth="1"/>
    <col min="3" max="3" width="10.00390625" style="136" customWidth="1"/>
    <col min="4" max="4" width="9.75390625" style="136" customWidth="1"/>
    <col min="5" max="5" width="9.25390625" style="136" customWidth="1"/>
    <col min="6" max="6" width="9.75390625" style="136" customWidth="1"/>
    <col min="7" max="7" width="11.125" style="136" customWidth="1"/>
    <col min="8" max="8" width="9.625" style="136" customWidth="1"/>
    <col min="9" max="9" width="10.00390625" style="136" customWidth="1"/>
    <col min="10" max="10" width="11.125" style="136" customWidth="1"/>
    <col min="11" max="11" width="10.875" style="136" customWidth="1"/>
    <col min="12" max="12" width="10.625" style="136" customWidth="1"/>
    <col min="13" max="13" width="9.375" style="136" hidden="1" customWidth="1"/>
    <col min="14" max="14" width="9.875" style="136" hidden="1" customWidth="1"/>
    <col min="15" max="15" width="9.375" style="136" customWidth="1"/>
    <col min="16" max="16" width="10.00390625" style="136" customWidth="1"/>
    <col min="17" max="17" width="9.125" style="136" customWidth="1"/>
    <col min="18" max="18" width="11.25390625" style="248" customWidth="1"/>
    <col min="19" max="19" width="9.875" style="135" customWidth="1"/>
    <col min="20" max="20" width="10.125" style="136" bestFit="1" customWidth="1"/>
    <col min="21" max="16384" width="9.125" style="136" customWidth="1"/>
  </cols>
  <sheetData>
    <row r="1" spans="15:18" ht="15.75">
      <c r="O1" s="12"/>
      <c r="R1" s="300"/>
    </row>
    <row r="2" spans="15:23" ht="18.75">
      <c r="O2" s="96" t="s">
        <v>589</v>
      </c>
      <c r="P2" s="405"/>
      <c r="Q2" s="96"/>
      <c r="R2" s="584"/>
      <c r="S2" s="162"/>
      <c r="T2" s="567"/>
      <c r="U2" s="567"/>
      <c r="V2" s="567"/>
      <c r="W2" s="567"/>
    </row>
    <row r="3" spans="15:23" ht="18.75" hidden="1">
      <c r="O3" s="96" t="s">
        <v>546</v>
      </c>
      <c r="P3" s="98"/>
      <c r="Q3" s="96"/>
      <c r="R3" s="584"/>
      <c r="S3" s="162"/>
      <c r="T3" s="587"/>
      <c r="U3" s="587"/>
      <c r="V3" s="567"/>
      <c r="W3" s="567"/>
    </row>
    <row r="4" spans="15:23" ht="18.75" hidden="1">
      <c r="O4" s="96" t="s">
        <v>433</v>
      </c>
      <c r="P4" s="98"/>
      <c r="Q4" s="96"/>
      <c r="R4" s="584"/>
      <c r="S4" s="162"/>
      <c r="T4" s="587"/>
      <c r="U4" s="587"/>
      <c r="V4" s="587"/>
      <c r="W4" s="587"/>
    </row>
    <row r="5" spans="1:23" ht="18.75" hidden="1">
      <c r="A5" s="136"/>
      <c r="O5" s="585" t="str">
        <f>'0800 свод'!L5</f>
        <v>№5 от 5.03.2012г.</v>
      </c>
      <c r="P5" s="586"/>
      <c r="Q5" s="585"/>
      <c r="R5" s="584"/>
      <c r="S5" s="162"/>
      <c r="T5" s="6"/>
      <c r="U5" s="129"/>
      <c r="V5" s="567"/>
      <c r="W5" s="567"/>
    </row>
    <row r="6" spans="1:19" ht="15" hidden="1">
      <c r="A6" s="136"/>
      <c r="B6" s="1146" t="s">
        <v>1173</v>
      </c>
      <c r="C6" s="1147"/>
      <c r="D6" s="1147"/>
      <c r="E6" s="1147"/>
      <c r="F6" s="1147"/>
      <c r="G6" s="1147"/>
      <c r="H6" s="1147"/>
      <c r="I6" s="1147"/>
      <c r="J6" s="1147"/>
      <c r="K6" s="1147"/>
      <c r="L6" s="1147"/>
      <c r="M6" s="1147"/>
      <c r="N6" s="1147"/>
      <c r="O6" s="1147"/>
      <c r="P6" s="1147"/>
      <c r="Q6" s="1147"/>
      <c r="R6" s="1147"/>
      <c r="S6" s="1147"/>
    </row>
    <row r="7" ht="15.75" hidden="1">
      <c r="A7" s="136"/>
    </row>
    <row r="8" ht="15.75" hidden="1">
      <c r="A8" s="136"/>
    </row>
    <row r="9" spans="1:19" s="249" customFormat="1" ht="15.75" hidden="1">
      <c r="A9" s="166"/>
      <c r="B9" s="235">
        <v>210</v>
      </c>
      <c r="C9" s="166">
        <v>211</v>
      </c>
      <c r="D9" s="166">
        <v>212</v>
      </c>
      <c r="E9" s="166">
        <v>213</v>
      </c>
      <c r="F9" s="235">
        <v>220</v>
      </c>
      <c r="G9" s="166">
        <v>221</v>
      </c>
      <c r="H9" s="166">
        <v>222</v>
      </c>
      <c r="I9" s="166">
        <v>223</v>
      </c>
      <c r="J9" s="166">
        <v>224</v>
      </c>
      <c r="K9" s="166">
        <v>225</v>
      </c>
      <c r="L9" s="166">
        <v>226</v>
      </c>
      <c r="M9" s="235">
        <v>260</v>
      </c>
      <c r="N9" s="166">
        <v>262</v>
      </c>
      <c r="O9" s="235">
        <v>290</v>
      </c>
      <c r="P9" s="235">
        <v>300</v>
      </c>
      <c r="Q9" s="166">
        <v>310</v>
      </c>
      <c r="R9" s="166">
        <v>340</v>
      </c>
      <c r="S9" s="167"/>
    </row>
    <row r="10" spans="1:19" s="239" customFormat="1" ht="66" customHeight="1" hidden="1">
      <c r="A10" s="7"/>
      <c r="B10" s="237" t="s">
        <v>128</v>
      </c>
      <c r="C10" s="238" t="s">
        <v>727</v>
      </c>
      <c r="D10" s="238" t="s">
        <v>130</v>
      </c>
      <c r="E10" s="238" t="s">
        <v>728</v>
      </c>
      <c r="F10" s="237" t="s">
        <v>734</v>
      </c>
      <c r="G10" s="238" t="s">
        <v>132</v>
      </c>
      <c r="H10" s="238" t="s">
        <v>133</v>
      </c>
      <c r="I10" s="238" t="s">
        <v>134</v>
      </c>
      <c r="J10" s="238" t="s">
        <v>135</v>
      </c>
      <c r="K10" s="238" t="s">
        <v>735</v>
      </c>
      <c r="L10" s="238" t="s">
        <v>736</v>
      </c>
      <c r="M10" s="193" t="s">
        <v>200</v>
      </c>
      <c r="N10" s="250" t="s">
        <v>237</v>
      </c>
      <c r="O10" s="193" t="s">
        <v>140</v>
      </c>
      <c r="P10" s="193" t="s">
        <v>141</v>
      </c>
      <c r="Q10" s="250" t="s">
        <v>142</v>
      </c>
      <c r="R10" s="251" t="s">
        <v>238</v>
      </c>
      <c r="S10" s="193" t="s">
        <v>634</v>
      </c>
    </row>
    <row r="11" spans="1:19" s="257" customFormat="1" ht="18" customHeight="1" hidden="1">
      <c r="A11" s="167" t="s">
        <v>239</v>
      </c>
      <c r="B11" s="252"/>
      <c r="C11" s="253"/>
      <c r="D11" s="254"/>
      <c r="E11" s="254"/>
      <c r="F11" s="254"/>
      <c r="G11" s="254"/>
      <c r="H11" s="255"/>
      <c r="I11" s="256"/>
      <c r="J11" s="254"/>
      <c r="K11" s="255"/>
      <c r="L11" s="255"/>
      <c r="M11" s="255"/>
      <c r="N11" s="255"/>
      <c r="O11" s="255"/>
      <c r="P11" s="255"/>
      <c r="Q11" s="254"/>
      <c r="R11" s="254"/>
      <c r="S11" s="254"/>
    </row>
    <row r="12" spans="1:19" s="257" customFormat="1" ht="18" customHeight="1" hidden="1">
      <c r="A12" s="167" t="s">
        <v>679</v>
      </c>
      <c r="B12" s="252"/>
      <c r="C12" s="253"/>
      <c r="D12" s="254"/>
      <c r="E12" s="254"/>
      <c r="F12" s="254"/>
      <c r="G12" s="254"/>
      <c r="H12" s="255"/>
      <c r="I12" s="256"/>
      <c r="J12" s="254"/>
      <c r="K12" s="255"/>
      <c r="L12" s="255"/>
      <c r="M12" s="255"/>
      <c r="N12" s="255"/>
      <c r="O12" s="255"/>
      <c r="P12" s="255"/>
      <c r="Q12" s="254"/>
      <c r="R12" s="254"/>
      <c r="S12" s="254"/>
    </row>
    <row r="13" spans="1:19" ht="35.25" customHeight="1" hidden="1">
      <c r="A13" s="258" t="s">
        <v>240</v>
      </c>
      <c r="B13" s="259"/>
      <c r="C13" s="260"/>
      <c r="D13" s="260"/>
      <c r="E13" s="260"/>
      <c r="F13" s="260"/>
      <c r="G13" s="261"/>
      <c r="H13" s="262"/>
      <c r="I13" s="263"/>
      <c r="J13" s="261"/>
      <c r="K13" s="262"/>
      <c r="L13" s="262"/>
      <c r="M13" s="264"/>
      <c r="N13" s="264"/>
      <c r="O13" s="264"/>
      <c r="P13" s="264"/>
      <c r="Q13" s="261"/>
      <c r="R13" s="261"/>
      <c r="S13" s="260"/>
    </row>
    <row r="14" spans="1:19" ht="24" customHeight="1" hidden="1">
      <c r="A14" s="236" t="s">
        <v>241</v>
      </c>
      <c r="B14" s="259"/>
      <c r="C14" s="265"/>
      <c r="D14" s="265"/>
      <c r="E14" s="265"/>
      <c r="F14" s="266"/>
      <c r="G14" s="267"/>
      <c r="H14" s="268"/>
      <c r="I14" s="269"/>
      <c r="J14" s="267"/>
      <c r="K14" s="268"/>
      <c r="L14" s="268"/>
      <c r="M14" s="270"/>
      <c r="N14" s="271"/>
      <c r="O14" s="272"/>
      <c r="P14" s="270">
        <f>SUM(Q14:R14)</f>
        <v>0</v>
      </c>
      <c r="Q14" s="273"/>
      <c r="R14" s="273"/>
      <c r="S14" s="266">
        <f>B14+F14+M14+O14+P14</f>
        <v>0</v>
      </c>
    </row>
    <row r="15" spans="1:20" ht="27" customHeight="1" hidden="1">
      <c r="A15" s="274" t="s">
        <v>1174</v>
      </c>
      <c r="B15" s="275">
        <f>B14</f>
        <v>0</v>
      </c>
      <c r="C15" s="275">
        <f>C14</f>
        <v>0</v>
      </c>
      <c r="D15" s="275">
        <f>D14</f>
        <v>0</v>
      </c>
      <c r="E15" s="275">
        <f>SUM(E13:E14)</f>
        <v>0</v>
      </c>
      <c r="F15" s="276">
        <f>SUM(G15:L15)</f>
        <v>0</v>
      </c>
      <c r="G15" s="276">
        <f aca="true" t="shared" si="0" ref="G15:L15">SUM(G13:G14)</f>
        <v>0</v>
      </c>
      <c r="H15" s="276">
        <f t="shared" si="0"/>
        <v>0</v>
      </c>
      <c r="I15" s="276">
        <f t="shared" si="0"/>
        <v>0</v>
      </c>
      <c r="J15" s="276">
        <f t="shared" si="0"/>
        <v>0</v>
      </c>
      <c r="K15" s="276">
        <f t="shared" si="0"/>
        <v>0</v>
      </c>
      <c r="L15" s="276">
        <f t="shared" si="0"/>
        <v>0</v>
      </c>
      <c r="M15" s="276">
        <f>SUM(N15)</f>
        <v>0</v>
      </c>
      <c r="N15" s="276">
        <f>SUM(N13:N14)</f>
        <v>0</v>
      </c>
      <c r="O15" s="276">
        <f>SUM(O13:O14)</f>
        <v>0</v>
      </c>
      <c r="P15" s="276">
        <f>SUM(Q15:R15)</f>
        <v>0</v>
      </c>
      <c r="Q15" s="276">
        <f>SUM(Q11:Q14)</f>
        <v>0</v>
      </c>
      <c r="R15" s="276">
        <f>SUM(R11:R14)</f>
        <v>0</v>
      </c>
      <c r="S15" s="276">
        <f>SUM(S11:S14)</f>
        <v>0</v>
      </c>
      <c r="T15" s="277"/>
    </row>
    <row r="16" spans="1:19" s="40" customFormat="1" ht="21" customHeight="1" hidden="1">
      <c r="A16" s="830" t="s">
        <v>1169</v>
      </c>
      <c r="B16" s="279"/>
      <c r="C16" s="644"/>
      <c r="D16" s="644"/>
      <c r="E16" s="645"/>
      <c r="F16" s="646"/>
      <c r="G16" s="645"/>
      <c r="H16" s="644"/>
      <c r="I16" s="645"/>
      <c r="J16" s="647"/>
      <c r="K16" s="644"/>
      <c r="L16" s="644"/>
      <c r="M16" s="648"/>
      <c r="N16" s="645"/>
      <c r="O16" s="649"/>
      <c r="P16" s="649"/>
      <c r="Q16" s="650"/>
      <c r="R16" s="650"/>
      <c r="S16" s="646"/>
    </row>
    <row r="17" spans="1:19" s="40" customFormat="1" ht="30.75" customHeight="1" hidden="1">
      <c r="A17" s="93" t="s">
        <v>1164</v>
      </c>
      <c r="B17" s="279">
        <f>SUM(C17:E17)</f>
        <v>0</v>
      </c>
      <c r="C17" s="644"/>
      <c r="D17" s="644"/>
      <c r="E17" s="645"/>
      <c r="F17" s="646">
        <f>SUM(G17:L17)</f>
        <v>86</v>
      </c>
      <c r="G17" s="645"/>
      <c r="H17" s="644">
        <v>20</v>
      </c>
      <c r="I17" s="645"/>
      <c r="J17" s="647"/>
      <c r="K17" s="644">
        <f>'свод бюджет'!K119</f>
        <v>0</v>
      </c>
      <c r="L17" s="644">
        <v>66</v>
      </c>
      <c r="M17" s="648"/>
      <c r="N17" s="645"/>
      <c r="O17" s="644">
        <v>120</v>
      </c>
      <c r="P17" s="649">
        <f>SUM(Q17:R17)</f>
        <v>113.5</v>
      </c>
      <c r="Q17" s="650">
        <v>9.5</v>
      </c>
      <c r="R17" s="650">
        <v>104</v>
      </c>
      <c r="S17" s="646">
        <f>B17+F17+M17+O17+P17</f>
        <v>319.5</v>
      </c>
    </row>
    <row r="18" spans="1:19" s="41" customFormat="1" ht="20.25" customHeight="1" hidden="1">
      <c r="A18" s="718" t="s">
        <v>1175</v>
      </c>
      <c r="B18" s="288">
        <f>SUM(B17)</f>
        <v>0</v>
      </c>
      <c r="C18" s="651">
        <f aca="true" t="shared" si="1" ref="C18:N18">SUM(C17)</f>
        <v>0</v>
      </c>
      <c r="D18" s="651">
        <f t="shared" si="1"/>
        <v>0</v>
      </c>
      <c r="E18" s="651">
        <f t="shared" si="1"/>
        <v>0</v>
      </c>
      <c r="F18" s="651">
        <f t="shared" si="1"/>
        <v>86</v>
      </c>
      <c r="G18" s="651">
        <f t="shared" si="1"/>
        <v>0</v>
      </c>
      <c r="H18" s="651">
        <f t="shared" si="1"/>
        <v>20</v>
      </c>
      <c r="I18" s="651">
        <f t="shared" si="1"/>
        <v>0</v>
      </c>
      <c r="J18" s="651">
        <f t="shared" si="1"/>
        <v>0</v>
      </c>
      <c r="K18" s="651">
        <f t="shared" si="1"/>
        <v>0</v>
      </c>
      <c r="L18" s="651">
        <f t="shared" si="1"/>
        <v>66</v>
      </c>
      <c r="M18" s="651">
        <f t="shared" si="1"/>
        <v>0</v>
      </c>
      <c r="N18" s="651">
        <f t="shared" si="1"/>
        <v>0</v>
      </c>
      <c r="O18" s="651">
        <f>SUM(O17:O17)</f>
        <v>120</v>
      </c>
      <c r="P18" s="651">
        <f>SUM(P17:P17)</f>
        <v>113.5</v>
      </c>
      <c r="Q18" s="651">
        <f>SUM(Q17:Q17)</f>
        <v>9.5</v>
      </c>
      <c r="R18" s="651">
        <f>SUM(R17:R17)</f>
        <v>104</v>
      </c>
      <c r="S18" s="652">
        <f>B18+F18+M18+O18+P18</f>
        <v>319.5</v>
      </c>
    </row>
    <row r="19" spans="1:20" s="291" customFormat="1" ht="20.25" customHeight="1" hidden="1">
      <c r="A19" s="1029" t="s">
        <v>1176</v>
      </c>
      <c r="B19" s="259">
        <f>B15+B18</f>
        <v>0</v>
      </c>
      <c r="C19" s="648">
        <f aca="true" t="shared" si="2" ref="C19:S19">C15+C18</f>
        <v>0</v>
      </c>
      <c r="D19" s="648">
        <f t="shared" si="2"/>
        <v>0</v>
      </c>
      <c r="E19" s="648">
        <f t="shared" si="2"/>
        <v>0</v>
      </c>
      <c r="F19" s="648">
        <f t="shared" si="2"/>
        <v>86</v>
      </c>
      <c r="G19" s="648">
        <f t="shared" si="2"/>
        <v>0</v>
      </c>
      <c r="H19" s="648">
        <f t="shared" si="2"/>
        <v>20</v>
      </c>
      <c r="I19" s="648">
        <f t="shared" si="2"/>
        <v>0</v>
      </c>
      <c r="J19" s="648">
        <f t="shared" si="2"/>
        <v>0</v>
      </c>
      <c r="K19" s="648">
        <f t="shared" si="2"/>
        <v>0</v>
      </c>
      <c r="L19" s="648">
        <f t="shared" si="2"/>
        <v>66</v>
      </c>
      <c r="M19" s="648">
        <f t="shared" si="2"/>
        <v>0</v>
      </c>
      <c r="N19" s="648">
        <f t="shared" si="2"/>
        <v>0</v>
      </c>
      <c r="O19" s="648">
        <f t="shared" si="2"/>
        <v>120</v>
      </c>
      <c r="P19" s="648">
        <f t="shared" si="2"/>
        <v>113.5</v>
      </c>
      <c r="Q19" s="648">
        <f t="shared" si="2"/>
        <v>9.5</v>
      </c>
      <c r="R19" s="648">
        <f t="shared" si="2"/>
        <v>104</v>
      </c>
      <c r="S19" s="648">
        <f t="shared" si="2"/>
        <v>319.5</v>
      </c>
      <c r="T19" s="290"/>
    </row>
    <row r="20" spans="1:19" s="299" customFormat="1" ht="18" customHeight="1" hidden="1">
      <c r="A20" s="292"/>
      <c r="B20" s="293"/>
      <c r="C20" s="294"/>
      <c r="D20" s="294"/>
      <c r="E20" s="294"/>
      <c r="F20" s="295"/>
      <c r="G20" s="294"/>
      <c r="H20" s="294"/>
      <c r="I20" s="294"/>
      <c r="J20" s="294"/>
      <c r="K20" s="294"/>
      <c r="L20" s="294"/>
      <c r="M20" s="295"/>
      <c r="N20" s="294"/>
      <c r="O20" s="294"/>
      <c r="P20" s="296"/>
      <c r="Q20" s="294"/>
      <c r="R20" s="297"/>
      <c r="S20" s="298"/>
    </row>
    <row r="21" spans="1:19" s="299" customFormat="1" ht="18" customHeight="1" hidden="1">
      <c r="A21" s="292"/>
      <c r="B21" s="293"/>
      <c r="C21" s="294"/>
      <c r="D21" s="136" t="s">
        <v>687</v>
      </c>
      <c r="E21" s="294"/>
      <c r="F21" s="295"/>
      <c r="G21" s="294"/>
      <c r="H21" s="294"/>
      <c r="I21" s="294"/>
      <c r="J21" s="294"/>
      <c r="K21" s="294"/>
      <c r="L21" s="294"/>
      <c r="M21" s="295"/>
      <c r="N21" s="294"/>
      <c r="O21" s="294"/>
      <c r="P21" s="296"/>
      <c r="Q21" s="294"/>
      <c r="R21" s="297"/>
      <c r="S21" s="298"/>
    </row>
    <row r="22" spans="1:19" s="299" customFormat="1" ht="18" customHeight="1">
      <c r="A22" s="292"/>
      <c r="B22" s="293"/>
      <c r="C22" s="294"/>
      <c r="D22" s="294"/>
      <c r="E22" s="294"/>
      <c r="F22" s="295"/>
      <c r="G22" s="294"/>
      <c r="H22" s="294"/>
      <c r="I22" s="294"/>
      <c r="J22" s="294"/>
      <c r="K22" s="294"/>
      <c r="L22" s="294"/>
      <c r="M22" s="295"/>
      <c r="N22" s="294"/>
      <c r="O22" s="294"/>
      <c r="P22" s="296"/>
      <c r="Q22" s="294"/>
      <c r="R22" s="297"/>
      <c r="S22" s="298"/>
    </row>
    <row r="23" ht="15.75">
      <c r="D23" s="294"/>
    </row>
  </sheetData>
  <sheetProtection/>
  <mergeCells count="1">
    <mergeCell ref="B6:S6"/>
  </mergeCells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300"/>
  <sheetViews>
    <sheetView showZeros="0" view="pageBreakPreview" zoomScale="70" zoomScaleSheetLayoutView="70" zoomScalePageLayoutView="0" workbookViewId="0" topLeftCell="H6">
      <pane ySplit="6" topLeftCell="A132" activePane="bottomLeft" state="frozen"/>
      <selection pane="topLeft" activeCell="A6" sqref="A6"/>
      <selection pane="bottomLeft" activeCell="A80" sqref="A80"/>
    </sheetView>
  </sheetViews>
  <sheetFormatPr defaultColWidth="9.00390625" defaultRowHeight="12.75"/>
  <cols>
    <col min="1" max="1" width="34.375" style="302" customWidth="1"/>
    <col min="2" max="2" width="10.00390625" style="9" customWidth="1"/>
    <col min="3" max="3" width="8.875" style="10" customWidth="1"/>
    <col min="4" max="4" width="6.25390625" style="10" customWidth="1"/>
    <col min="5" max="5" width="10.00390625" style="10" bestFit="1" customWidth="1"/>
    <col min="6" max="6" width="11.00390625" style="11" customWidth="1"/>
    <col min="7" max="7" width="10.00390625" style="10" customWidth="1"/>
    <col min="8" max="8" width="11.125" style="10" customWidth="1"/>
    <col min="9" max="9" width="12.00390625" style="10" customWidth="1"/>
    <col min="10" max="10" width="8.375" style="10" customWidth="1"/>
    <col min="11" max="11" width="13.125" style="10" customWidth="1"/>
    <col min="12" max="13" width="11.375" style="10" customWidth="1"/>
    <col min="14" max="14" width="13.625" style="10" customWidth="1"/>
    <col min="15" max="15" width="10.875" style="10" hidden="1" customWidth="1"/>
    <col min="16" max="16" width="14.125" style="10" customWidth="1"/>
    <col min="17" max="17" width="8.25390625" style="10" hidden="1" customWidth="1"/>
    <col min="18" max="18" width="8.75390625" style="10" customWidth="1"/>
    <col min="19" max="20" width="7.25390625" style="10" customWidth="1"/>
    <col min="21" max="21" width="16.00390625" style="10" customWidth="1"/>
    <col min="22" max="22" width="14.75390625" style="11" customWidth="1"/>
    <col min="23" max="23" width="8.875" style="10" customWidth="1"/>
    <col min="24" max="24" width="9.00390625" style="10" hidden="1" customWidth="1"/>
    <col min="25" max="25" width="12.625" style="10" customWidth="1"/>
    <col min="26" max="26" width="16.00390625" style="11" customWidth="1"/>
    <col min="27" max="27" width="12.75390625" style="10" customWidth="1"/>
    <col min="28" max="16384" width="9.125" style="10" customWidth="1"/>
  </cols>
  <sheetData>
    <row r="1" spans="25:26" ht="15.75" hidden="1">
      <c r="Y1" s="136" t="s">
        <v>94</v>
      </c>
      <c r="Z1" s="136"/>
    </row>
    <row r="2" spans="25:26" ht="15.75" hidden="1">
      <c r="Y2" s="136" t="s">
        <v>245</v>
      </c>
      <c r="Z2" s="136"/>
    </row>
    <row r="3" spans="25:26" ht="15.75" hidden="1">
      <c r="Y3" s="136" t="s">
        <v>433</v>
      </c>
      <c r="Z3" s="136"/>
    </row>
    <row r="4" spans="25:26" ht="15.75" hidden="1">
      <c r="Y4" s="136" t="s">
        <v>246</v>
      </c>
      <c r="Z4" s="136"/>
    </row>
    <row r="5" spans="1:2" ht="15.75" hidden="1">
      <c r="A5" s="99"/>
      <c r="B5" s="400"/>
    </row>
    <row r="6" spans="1:6" ht="18">
      <c r="A6" s="99"/>
      <c r="B6" s="400"/>
      <c r="F6" s="303" t="s">
        <v>247</v>
      </c>
    </row>
    <row r="7" spans="1:6" ht="15.75">
      <c r="A7" s="99"/>
      <c r="B7" s="400"/>
      <c r="F7" s="11" t="s">
        <v>341</v>
      </c>
    </row>
    <row r="8" spans="1:6" ht="15.75">
      <c r="A8" s="99"/>
      <c r="B8" s="400"/>
      <c r="F8" s="304" t="s">
        <v>248</v>
      </c>
    </row>
    <row r="9" spans="1:2" ht="15.75">
      <c r="A9" s="305"/>
      <c r="B9" s="11"/>
    </row>
    <row r="10" spans="1:26" s="26" customFormat="1" ht="15.75">
      <c r="A10" s="138"/>
      <c r="B10" s="139">
        <v>210</v>
      </c>
      <c r="C10" s="140">
        <v>211</v>
      </c>
      <c r="D10" s="140">
        <v>212</v>
      </c>
      <c r="E10" s="140">
        <v>213</v>
      </c>
      <c r="F10" s="139">
        <v>220</v>
      </c>
      <c r="G10" s="140">
        <v>221</v>
      </c>
      <c r="H10" s="140">
        <v>222</v>
      </c>
      <c r="I10" s="140">
        <v>223</v>
      </c>
      <c r="J10" s="141">
        <v>224</v>
      </c>
      <c r="K10" s="140">
        <v>225</v>
      </c>
      <c r="L10" s="140">
        <v>226</v>
      </c>
      <c r="M10" s="140">
        <v>231</v>
      </c>
      <c r="N10" s="139">
        <v>240</v>
      </c>
      <c r="O10" s="306">
        <v>241</v>
      </c>
      <c r="P10" s="306">
        <v>242</v>
      </c>
      <c r="Q10" s="139">
        <v>251</v>
      </c>
      <c r="R10" s="139">
        <v>260</v>
      </c>
      <c r="S10" s="306">
        <v>262</v>
      </c>
      <c r="T10" s="306">
        <v>263</v>
      </c>
      <c r="U10" s="139">
        <v>290</v>
      </c>
      <c r="V10" s="139">
        <v>300</v>
      </c>
      <c r="W10" s="140">
        <v>310</v>
      </c>
      <c r="X10" s="140">
        <v>320</v>
      </c>
      <c r="Y10" s="140">
        <v>340</v>
      </c>
      <c r="Z10" s="142"/>
    </row>
    <row r="11" spans="1:26" s="709" customFormat="1" ht="84" customHeight="1">
      <c r="A11" s="701"/>
      <c r="B11" s="702" t="s">
        <v>128</v>
      </c>
      <c r="C11" s="703" t="s">
        <v>727</v>
      </c>
      <c r="D11" s="703" t="s">
        <v>130</v>
      </c>
      <c r="E11" s="703" t="s">
        <v>728</v>
      </c>
      <c r="F11" s="704" t="s">
        <v>734</v>
      </c>
      <c r="G11" s="703" t="s">
        <v>132</v>
      </c>
      <c r="H11" s="703" t="s">
        <v>133</v>
      </c>
      <c r="I11" s="703" t="s">
        <v>134</v>
      </c>
      <c r="J11" s="703" t="s">
        <v>135</v>
      </c>
      <c r="K11" s="703" t="s">
        <v>735</v>
      </c>
      <c r="L11" s="703" t="s">
        <v>736</v>
      </c>
      <c r="M11" s="703" t="s">
        <v>938</v>
      </c>
      <c r="N11" s="705" t="s">
        <v>249</v>
      </c>
      <c r="O11" s="705" t="s">
        <v>250</v>
      </c>
      <c r="P11" s="705" t="s">
        <v>250</v>
      </c>
      <c r="Q11" s="707" t="s">
        <v>251</v>
      </c>
      <c r="R11" s="707" t="s">
        <v>737</v>
      </c>
      <c r="S11" s="708" t="s">
        <v>558</v>
      </c>
      <c r="T11" s="707" t="s">
        <v>119</v>
      </c>
      <c r="U11" s="707" t="s">
        <v>140</v>
      </c>
      <c r="V11" s="707" t="s">
        <v>141</v>
      </c>
      <c r="W11" s="705" t="s">
        <v>142</v>
      </c>
      <c r="X11" s="705" t="s">
        <v>476</v>
      </c>
      <c r="Y11" s="705" t="s">
        <v>143</v>
      </c>
      <c r="Z11" s="707" t="s">
        <v>634</v>
      </c>
    </row>
    <row r="12" spans="1:38" s="29" customFormat="1" ht="15.75">
      <c r="A12" s="308" t="s">
        <v>444</v>
      </c>
      <c r="B12" s="309"/>
      <c r="C12" s="309"/>
      <c r="D12" s="309"/>
      <c r="E12" s="310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</row>
    <row r="13" spans="1:38" s="30" customFormat="1" ht="21.75" customHeight="1">
      <c r="A13" s="311" t="s">
        <v>478</v>
      </c>
      <c r="B13" s="310">
        <f>SUM(C13:E13)</f>
        <v>551</v>
      </c>
      <c r="C13" s="312">
        <v>410</v>
      </c>
      <c r="D13" s="312"/>
      <c r="E13" s="312">
        <v>141</v>
      </c>
      <c r="F13" s="310">
        <f>SUM(G13:L13)</f>
        <v>0</v>
      </c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0">
        <f>SUM(W13:Y13)</f>
        <v>0</v>
      </c>
      <c r="W13" s="312"/>
      <c r="X13" s="312"/>
      <c r="Y13" s="312"/>
      <c r="Z13" s="310">
        <f>B13+F13+N13+U13+V13</f>
        <v>551</v>
      </c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</row>
    <row r="14" spans="1:38" s="32" customFormat="1" ht="22.5" customHeight="1">
      <c r="A14" s="346" t="s">
        <v>145</v>
      </c>
      <c r="B14" s="395">
        <f aca="true" t="shared" si="0" ref="B14:Y14">SUM(B13:B13)</f>
        <v>551</v>
      </c>
      <c r="C14" s="395">
        <f t="shared" si="0"/>
        <v>410</v>
      </c>
      <c r="D14" s="395">
        <f t="shared" si="0"/>
        <v>0</v>
      </c>
      <c r="E14" s="395">
        <f t="shared" si="0"/>
        <v>141</v>
      </c>
      <c r="F14" s="395">
        <f t="shared" si="0"/>
        <v>0</v>
      </c>
      <c r="G14" s="395">
        <f t="shared" si="0"/>
        <v>0</v>
      </c>
      <c r="H14" s="395">
        <f t="shared" si="0"/>
        <v>0</v>
      </c>
      <c r="I14" s="395">
        <f t="shared" si="0"/>
        <v>0</v>
      </c>
      <c r="J14" s="395">
        <f t="shared" si="0"/>
        <v>0</v>
      </c>
      <c r="K14" s="395">
        <f t="shared" si="0"/>
        <v>0</v>
      </c>
      <c r="L14" s="395">
        <f t="shared" si="0"/>
        <v>0</v>
      </c>
      <c r="M14" s="395"/>
      <c r="N14" s="395"/>
      <c r="O14" s="395"/>
      <c r="P14" s="395"/>
      <c r="Q14" s="395"/>
      <c r="R14" s="395"/>
      <c r="S14" s="395"/>
      <c r="T14" s="395"/>
      <c r="U14" s="395">
        <f t="shared" si="0"/>
        <v>0</v>
      </c>
      <c r="V14" s="395">
        <f t="shared" si="0"/>
        <v>0</v>
      </c>
      <c r="W14" s="395">
        <f t="shared" si="0"/>
        <v>0</v>
      </c>
      <c r="X14" s="395"/>
      <c r="Y14" s="395">
        <f t="shared" si="0"/>
        <v>0</v>
      </c>
      <c r="Z14" s="395">
        <f>SUM(Z13:Z13)</f>
        <v>551</v>
      </c>
      <c r="AA14" s="314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</row>
    <row r="15" spans="1:38" s="555" customFormat="1" ht="22.5" customHeight="1" hidden="1">
      <c r="A15" s="550" t="s">
        <v>547</v>
      </c>
      <c r="B15" s="551"/>
      <c r="C15" s="552"/>
      <c r="D15" s="552"/>
      <c r="E15" s="552"/>
      <c r="F15" s="552"/>
      <c r="G15" s="552"/>
      <c r="H15" s="552"/>
      <c r="I15" s="552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  <c r="U15" s="551"/>
      <c r="V15" s="551"/>
      <c r="W15" s="551"/>
      <c r="X15" s="551"/>
      <c r="Y15" s="551"/>
      <c r="Z15" s="557"/>
      <c r="AA15" s="553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</row>
    <row r="16" spans="1:38" s="555" customFormat="1" ht="35.25" customHeight="1" hidden="1">
      <c r="A16" s="556" t="s">
        <v>548</v>
      </c>
      <c r="B16" s="551"/>
      <c r="C16" s="552"/>
      <c r="D16" s="552"/>
      <c r="E16" s="552"/>
      <c r="F16" s="552"/>
      <c r="G16" s="552"/>
      <c r="H16" s="552"/>
      <c r="I16" s="552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7">
        <f>U16</f>
        <v>0</v>
      </c>
      <c r="AA16" s="553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</row>
    <row r="17" spans="1:38" s="555" customFormat="1" ht="18" customHeight="1" hidden="1">
      <c r="A17" s="556" t="s">
        <v>549</v>
      </c>
      <c r="B17" s="551"/>
      <c r="C17" s="552"/>
      <c r="D17" s="552"/>
      <c r="E17" s="552"/>
      <c r="F17" s="552"/>
      <c r="G17" s="552"/>
      <c r="H17" s="552"/>
      <c r="I17" s="552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51"/>
      <c r="Y17" s="551"/>
      <c r="Z17" s="557"/>
      <c r="AA17" s="553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</row>
    <row r="18" spans="1:38" s="555" customFormat="1" ht="20.25" customHeight="1" hidden="1">
      <c r="A18" s="556" t="s">
        <v>550</v>
      </c>
      <c r="B18" s="551"/>
      <c r="C18" s="552"/>
      <c r="D18" s="552"/>
      <c r="E18" s="552"/>
      <c r="F18" s="552"/>
      <c r="G18" s="552"/>
      <c r="H18" s="552"/>
      <c r="I18" s="552"/>
      <c r="J18" s="551"/>
      <c r="K18" s="551"/>
      <c r="L18" s="551"/>
      <c r="M18" s="551"/>
      <c r="N18" s="551"/>
      <c r="O18" s="551"/>
      <c r="P18" s="551"/>
      <c r="Q18" s="551"/>
      <c r="R18" s="551"/>
      <c r="S18" s="551"/>
      <c r="T18" s="551"/>
      <c r="U18" s="551"/>
      <c r="V18" s="551"/>
      <c r="W18" s="551"/>
      <c r="X18" s="551"/>
      <c r="Y18" s="551"/>
      <c r="Z18" s="557">
        <f>U18</f>
        <v>0</v>
      </c>
      <c r="AA18" s="553"/>
      <c r="AB18" s="554"/>
      <c r="AC18" s="554"/>
      <c r="AD18" s="554"/>
      <c r="AE18" s="554"/>
      <c r="AF18" s="554"/>
      <c r="AG18" s="554"/>
      <c r="AH18" s="554"/>
      <c r="AI18" s="554"/>
      <c r="AJ18" s="554"/>
      <c r="AK18" s="554"/>
      <c r="AL18" s="554"/>
    </row>
    <row r="19" spans="1:38" s="565" customFormat="1" ht="21.75" customHeight="1" hidden="1">
      <c r="A19" s="559" t="s">
        <v>551</v>
      </c>
      <c r="B19" s="560"/>
      <c r="C19" s="561"/>
      <c r="D19" s="561"/>
      <c r="E19" s="561"/>
      <c r="F19" s="561"/>
      <c r="G19" s="561"/>
      <c r="H19" s="561"/>
      <c r="I19" s="561"/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560"/>
      <c r="U19" s="560">
        <f>U18+U16</f>
        <v>0</v>
      </c>
      <c r="V19" s="560"/>
      <c r="W19" s="560"/>
      <c r="X19" s="560"/>
      <c r="Y19" s="560"/>
      <c r="Z19" s="562">
        <f>Z16+Z18</f>
        <v>0</v>
      </c>
      <c r="AA19" s="563"/>
      <c r="AB19" s="564"/>
      <c r="AC19" s="564"/>
      <c r="AD19" s="564"/>
      <c r="AE19" s="564"/>
      <c r="AF19" s="564"/>
      <c r="AG19" s="564"/>
      <c r="AH19" s="564"/>
      <c r="AI19" s="564"/>
      <c r="AJ19" s="564"/>
      <c r="AK19" s="564"/>
      <c r="AL19" s="564"/>
    </row>
    <row r="20" spans="1:38" s="565" customFormat="1" ht="21.75" customHeight="1" hidden="1">
      <c r="A20" s="559"/>
      <c r="B20" s="560"/>
      <c r="C20" s="561"/>
      <c r="D20" s="561"/>
      <c r="E20" s="561"/>
      <c r="F20" s="561"/>
      <c r="G20" s="561"/>
      <c r="H20" s="561"/>
      <c r="I20" s="561"/>
      <c r="J20" s="560"/>
      <c r="K20" s="560"/>
      <c r="L20" s="560"/>
      <c r="M20" s="560"/>
      <c r="N20" s="560"/>
      <c r="O20" s="560"/>
      <c r="P20" s="560"/>
      <c r="Q20" s="560"/>
      <c r="R20" s="560"/>
      <c r="S20" s="560"/>
      <c r="T20" s="560"/>
      <c r="U20" s="560"/>
      <c r="V20" s="560"/>
      <c r="W20" s="560"/>
      <c r="X20" s="560"/>
      <c r="Y20" s="560"/>
      <c r="Z20" s="562"/>
      <c r="AA20" s="563"/>
      <c r="AB20" s="564"/>
      <c r="AC20" s="564"/>
      <c r="AD20" s="564"/>
      <c r="AE20" s="564"/>
      <c r="AF20" s="564"/>
      <c r="AG20" s="564"/>
      <c r="AH20" s="564"/>
      <c r="AI20" s="564"/>
      <c r="AJ20" s="564"/>
      <c r="AK20" s="564"/>
      <c r="AL20" s="564"/>
    </row>
    <row r="21" spans="1:38" s="873" customFormat="1" ht="38.25" customHeight="1" hidden="1">
      <c r="A21" s="874"/>
      <c r="B21" s="868"/>
      <c r="C21" s="869"/>
      <c r="D21" s="869"/>
      <c r="E21" s="869"/>
      <c r="F21" s="869"/>
      <c r="G21" s="869"/>
      <c r="H21" s="869"/>
      <c r="I21" s="869"/>
      <c r="J21" s="868"/>
      <c r="K21" s="868"/>
      <c r="L21" s="868"/>
      <c r="M21" s="868"/>
      <c r="N21" s="868"/>
      <c r="O21" s="868"/>
      <c r="P21" s="868"/>
      <c r="Q21" s="868"/>
      <c r="R21" s="868"/>
      <c r="S21" s="868"/>
      <c r="T21" s="868"/>
      <c r="U21" s="868"/>
      <c r="V21" s="868"/>
      <c r="W21" s="868"/>
      <c r="X21" s="868"/>
      <c r="Y21" s="868"/>
      <c r="Z21" s="870">
        <f>M21</f>
        <v>0</v>
      </c>
      <c r="AA21" s="871"/>
      <c r="AB21" s="872"/>
      <c r="AC21" s="872"/>
      <c r="AD21" s="872"/>
      <c r="AE21" s="872"/>
      <c r="AF21" s="872"/>
      <c r="AG21" s="872"/>
      <c r="AH21" s="872"/>
      <c r="AI21" s="872"/>
      <c r="AJ21" s="872"/>
      <c r="AK21" s="872"/>
      <c r="AL21" s="872"/>
    </row>
    <row r="22" spans="1:38" s="565" customFormat="1" ht="21.75" customHeight="1" hidden="1">
      <c r="A22" s="559"/>
      <c r="B22" s="560"/>
      <c r="C22" s="561"/>
      <c r="D22" s="561"/>
      <c r="E22" s="561"/>
      <c r="F22" s="561"/>
      <c r="G22" s="561"/>
      <c r="H22" s="561"/>
      <c r="I22" s="561"/>
      <c r="J22" s="560"/>
      <c r="K22" s="560"/>
      <c r="L22" s="560"/>
      <c r="M22" s="560">
        <f>M21</f>
        <v>0</v>
      </c>
      <c r="N22" s="560"/>
      <c r="O22" s="560"/>
      <c r="P22" s="560"/>
      <c r="Q22" s="560"/>
      <c r="R22" s="560"/>
      <c r="S22" s="560"/>
      <c r="T22" s="560"/>
      <c r="U22" s="560"/>
      <c r="V22" s="560"/>
      <c r="W22" s="560"/>
      <c r="X22" s="560"/>
      <c r="Y22" s="560"/>
      <c r="Z22" s="562">
        <f>M22</f>
        <v>0</v>
      </c>
      <c r="AA22" s="563"/>
      <c r="AB22" s="564"/>
      <c r="AC22" s="564"/>
      <c r="AD22" s="564"/>
      <c r="AE22" s="564"/>
      <c r="AF22" s="564"/>
      <c r="AG22" s="564"/>
      <c r="AH22" s="564"/>
      <c r="AI22" s="564"/>
      <c r="AJ22" s="564"/>
      <c r="AK22" s="564"/>
      <c r="AL22" s="564"/>
    </row>
    <row r="23" spans="1:26" s="32" customFormat="1" ht="15.75">
      <c r="A23" s="155" t="s">
        <v>1165</v>
      </c>
      <c r="B23" s="316"/>
      <c r="C23" s="317"/>
      <c r="D23" s="317"/>
      <c r="E23" s="317"/>
      <c r="F23" s="317"/>
      <c r="G23" s="317"/>
      <c r="H23" s="317"/>
      <c r="I23" s="317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558"/>
    </row>
    <row r="24" spans="1:26" s="32" customFormat="1" ht="15.75">
      <c r="A24" s="318" t="s">
        <v>653</v>
      </c>
      <c r="B24" s="319">
        <f>SUM(C24:E24)</f>
        <v>0</v>
      </c>
      <c r="C24" s="320"/>
      <c r="D24" s="320"/>
      <c r="E24" s="320"/>
      <c r="F24" s="321">
        <f>SUM(G24:L24)</f>
        <v>0</v>
      </c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19"/>
      <c r="R24" s="320"/>
      <c r="S24" s="320"/>
      <c r="T24" s="320"/>
      <c r="U24" s="1067">
        <v>207.63942</v>
      </c>
      <c r="V24" s="1067"/>
      <c r="W24" s="1068"/>
      <c r="X24" s="1068"/>
      <c r="Y24" s="1069"/>
      <c r="Z24" s="864">
        <f>U24</f>
        <v>207.63942</v>
      </c>
    </row>
    <row r="25" spans="1:26" s="39" customFormat="1" ht="21.75" customHeight="1">
      <c r="A25" s="351" t="s">
        <v>1166</v>
      </c>
      <c r="B25" s="396">
        <f aca="true" t="shared" si="1" ref="B25:N25">SUM(B24:B24)</f>
        <v>0</v>
      </c>
      <c r="C25" s="396">
        <f t="shared" si="1"/>
        <v>0</v>
      </c>
      <c r="D25" s="396">
        <f t="shared" si="1"/>
        <v>0</v>
      </c>
      <c r="E25" s="396">
        <f t="shared" si="1"/>
        <v>0</v>
      </c>
      <c r="F25" s="396">
        <f t="shared" si="1"/>
        <v>0</v>
      </c>
      <c r="G25" s="396">
        <f t="shared" si="1"/>
        <v>0</v>
      </c>
      <c r="H25" s="396">
        <f t="shared" si="1"/>
        <v>0</v>
      </c>
      <c r="I25" s="396">
        <f t="shared" si="1"/>
        <v>0</v>
      </c>
      <c r="J25" s="396">
        <f t="shared" si="1"/>
        <v>0</v>
      </c>
      <c r="K25" s="396">
        <f t="shared" si="1"/>
        <v>0</v>
      </c>
      <c r="L25" s="396">
        <f t="shared" si="1"/>
        <v>0</v>
      </c>
      <c r="M25" s="396"/>
      <c r="N25" s="396">
        <f t="shared" si="1"/>
        <v>0</v>
      </c>
      <c r="O25" s="396"/>
      <c r="P25" s="396">
        <f aca="true" t="shared" si="2" ref="P25:Z25">SUM(P24:P24)</f>
        <v>0</v>
      </c>
      <c r="Q25" s="396">
        <f t="shared" si="2"/>
        <v>0</v>
      </c>
      <c r="R25" s="396">
        <f t="shared" si="2"/>
        <v>0</v>
      </c>
      <c r="S25" s="396"/>
      <c r="T25" s="396"/>
      <c r="U25" s="1070">
        <f t="shared" si="2"/>
        <v>207.63942</v>
      </c>
      <c r="V25" s="1070">
        <f t="shared" si="2"/>
        <v>0</v>
      </c>
      <c r="W25" s="1070">
        <f t="shared" si="2"/>
        <v>0</v>
      </c>
      <c r="X25" s="1070"/>
      <c r="Y25" s="1070">
        <f t="shared" si="2"/>
        <v>0</v>
      </c>
      <c r="Z25" s="1070">
        <f t="shared" si="2"/>
        <v>207.63942</v>
      </c>
    </row>
    <row r="26" spans="1:38" s="32" customFormat="1" ht="15.75">
      <c r="A26" s="828" t="s">
        <v>1167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</row>
    <row r="27" spans="1:38" s="32" customFormat="1" ht="15.75">
      <c r="A27" s="311" t="s">
        <v>502</v>
      </c>
      <c r="B27" s="310">
        <f>SUM(C27:E27)</f>
        <v>3154</v>
      </c>
      <c r="C27" s="312">
        <v>2286</v>
      </c>
      <c r="D27" s="312">
        <v>86</v>
      </c>
      <c r="E27" s="312">
        <v>782</v>
      </c>
      <c r="F27" s="310">
        <f>SUM(G27:L27)</f>
        <v>1392.95832</v>
      </c>
      <c r="G27" s="312">
        <v>135.8</v>
      </c>
      <c r="H27" s="312">
        <v>72</v>
      </c>
      <c r="I27" s="312">
        <v>871</v>
      </c>
      <c r="J27" s="312"/>
      <c r="K27" s="859">
        <v>133.15832</v>
      </c>
      <c r="L27" s="312">
        <v>181</v>
      </c>
      <c r="M27" s="312"/>
      <c r="N27" s="312"/>
      <c r="O27" s="312"/>
      <c r="P27" s="312"/>
      <c r="Q27" s="312"/>
      <c r="R27" s="312"/>
      <c r="S27" s="312"/>
      <c r="T27" s="312"/>
      <c r="U27" s="592">
        <v>96</v>
      </c>
      <c r="V27" s="310">
        <f>SUM(W27:Y27)</f>
        <v>165</v>
      </c>
      <c r="W27" s="312">
        <v>0</v>
      </c>
      <c r="X27" s="312">
        <v>0</v>
      </c>
      <c r="Y27" s="312">
        <v>165</v>
      </c>
      <c r="Z27" s="864">
        <f>B27+F27+N27+U27+V27</f>
        <v>4807.95832</v>
      </c>
      <c r="AA27" s="314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</row>
    <row r="28" spans="1:38" s="39" customFormat="1" ht="22.5" customHeight="1">
      <c r="A28" s="1027" t="s">
        <v>1168</v>
      </c>
      <c r="B28" s="395">
        <f aca="true" t="shared" si="3" ref="B28:L28">SUM(B27:B27)</f>
        <v>3154</v>
      </c>
      <c r="C28" s="395">
        <f t="shared" si="3"/>
        <v>2286</v>
      </c>
      <c r="D28" s="395">
        <f t="shared" si="3"/>
        <v>86</v>
      </c>
      <c r="E28" s="395">
        <f t="shared" si="3"/>
        <v>782</v>
      </c>
      <c r="F28" s="395">
        <f t="shared" si="3"/>
        <v>1392.95832</v>
      </c>
      <c r="G28" s="395">
        <f t="shared" si="3"/>
        <v>135.8</v>
      </c>
      <c r="H28" s="395">
        <f t="shared" si="3"/>
        <v>72</v>
      </c>
      <c r="I28" s="395">
        <f t="shared" si="3"/>
        <v>871</v>
      </c>
      <c r="J28" s="395">
        <f t="shared" si="3"/>
        <v>0</v>
      </c>
      <c r="K28" s="863">
        <f t="shared" si="3"/>
        <v>133.15832</v>
      </c>
      <c r="L28" s="395">
        <f t="shared" si="3"/>
        <v>181</v>
      </c>
      <c r="M28" s="395"/>
      <c r="N28" s="395"/>
      <c r="O28" s="395"/>
      <c r="P28" s="395"/>
      <c r="Q28" s="395"/>
      <c r="R28" s="395"/>
      <c r="S28" s="395"/>
      <c r="T28" s="395"/>
      <c r="U28" s="594">
        <f>SUM(U27:U27)</f>
        <v>96</v>
      </c>
      <c r="V28" s="395">
        <f>SUM(V27:V27)</f>
        <v>165</v>
      </c>
      <c r="W28" s="395">
        <f>SUM(W27:W27)</f>
        <v>0</v>
      </c>
      <c r="X28" s="395">
        <f>X27</f>
        <v>0</v>
      </c>
      <c r="Y28" s="395">
        <f>SUM(Y27:Y27)</f>
        <v>165</v>
      </c>
      <c r="Z28" s="863">
        <f>B28+F28+N28+U28+V28</f>
        <v>4807.95832</v>
      </c>
      <c r="AA28" s="314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</row>
    <row r="29" spans="1:26" ht="15.75" customHeight="1">
      <c r="A29" s="388" t="s">
        <v>449</v>
      </c>
      <c r="B29" s="389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</row>
    <row r="30" spans="1:26" s="1" customFormat="1" ht="25.5" customHeight="1">
      <c r="A30" s="232" t="s">
        <v>70</v>
      </c>
      <c r="B30" s="324">
        <f>SUM(C30:E30)</f>
        <v>242.9</v>
      </c>
      <c r="C30" s="694">
        <v>181</v>
      </c>
      <c r="D30" s="694">
        <v>0</v>
      </c>
      <c r="E30" s="875">
        <v>61.9</v>
      </c>
      <c r="F30" s="694">
        <f>SUM(G30:L30)</f>
        <v>27</v>
      </c>
      <c r="G30" s="694">
        <v>7.8</v>
      </c>
      <c r="H30" s="694">
        <v>7</v>
      </c>
      <c r="I30" s="694">
        <v>6.2</v>
      </c>
      <c r="J30" s="694">
        <v>6</v>
      </c>
      <c r="K30" s="694">
        <v>0</v>
      </c>
      <c r="L30" s="694"/>
      <c r="M30" s="694"/>
      <c r="N30" s="694"/>
      <c r="O30" s="694"/>
      <c r="P30" s="694"/>
      <c r="Q30" s="694"/>
      <c r="R30" s="694"/>
      <c r="S30" s="694"/>
      <c r="T30" s="694"/>
      <c r="U30" s="694"/>
      <c r="V30" s="875">
        <f>W30+Y30</f>
        <v>15.35</v>
      </c>
      <c r="W30" s="875">
        <v>0</v>
      </c>
      <c r="X30" s="875"/>
      <c r="Y30" s="875">
        <v>15.35</v>
      </c>
      <c r="Z30" s="801">
        <f aca="true" t="shared" si="4" ref="Z30:Z37">B30+F30+N30+U30+V30</f>
        <v>285.25</v>
      </c>
    </row>
    <row r="31" spans="1:26" s="181" customFormat="1" ht="24.75" customHeight="1">
      <c r="A31" s="350" t="s">
        <v>450</v>
      </c>
      <c r="B31" s="397">
        <f>SUM(B30)</f>
        <v>242.9</v>
      </c>
      <c r="C31" s="397">
        <f aca="true" t="shared" si="5" ref="C31:Y31">SUM(C30)</f>
        <v>181</v>
      </c>
      <c r="D31" s="397">
        <f t="shared" si="5"/>
        <v>0</v>
      </c>
      <c r="E31" s="861">
        <f t="shared" si="5"/>
        <v>61.9</v>
      </c>
      <c r="F31" s="397">
        <f t="shared" si="5"/>
        <v>27</v>
      </c>
      <c r="G31" s="397">
        <f t="shared" si="5"/>
        <v>7.8</v>
      </c>
      <c r="H31" s="397">
        <f t="shared" si="5"/>
        <v>7</v>
      </c>
      <c r="I31" s="397">
        <f t="shared" si="5"/>
        <v>6.2</v>
      </c>
      <c r="J31" s="397">
        <f t="shared" si="5"/>
        <v>6</v>
      </c>
      <c r="K31" s="397">
        <f t="shared" si="5"/>
        <v>0</v>
      </c>
      <c r="L31" s="397">
        <f t="shared" si="5"/>
        <v>0</v>
      </c>
      <c r="M31" s="397"/>
      <c r="N31" s="397">
        <f t="shared" si="5"/>
        <v>0</v>
      </c>
      <c r="O31" s="397">
        <f t="shared" si="5"/>
        <v>0</v>
      </c>
      <c r="P31" s="397">
        <f t="shared" si="5"/>
        <v>0</v>
      </c>
      <c r="Q31" s="397">
        <f t="shared" si="5"/>
        <v>0</v>
      </c>
      <c r="R31" s="397">
        <f t="shared" si="5"/>
        <v>0</v>
      </c>
      <c r="S31" s="397"/>
      <c r="T31" s="397"/>
      <c r="U31" s="397">
        <f t="shared" si="5"/>
        <v>0</v>
      </c>
      <c r="V31" s="861">
        <f t="shared" si="5"/>
        <v>15.35</v>
      </c>
      <c r="W31" s="861">
        <f t="shared" si="5"/>
        <v>0</v>
      </c>
      <c r="X31" s="861"/>
      <c r="Y31" s="861">
        <f t="shared" si="5"/>
        <v>15.35</v>
      </c>
      <c r="Z31" s="738">
        <f t="shared" si="4"/>
        <v>285.25</v>
      </c>
    </row>
    <row r="32" spans="1:26" s="367" customFormat="1" ht="24.75" customHeight="1">
      <c r="A32" s="366" t="s">
        <v>1191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10">
        <f t="shared" si="4"/>
        <v>0</v>
      </c>
    </row>
    <row r="33" spans="1:26" s="367" customFormat="1" ht="54" customHeight="1">
      <c r="A33" s="568" t="s">
        <v>1192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860">
        <f>P33</f>
        <v>99.00056</v>
      </c>
      <c r="O33" s="860"/>
      <c r="P33" s="860">
        <v>99.00056</v>
      </c>
      <c r="Q33" s="860"/>
      <c r="R33" s="860"/>
      <c r="S33" s="860"/>
      <c r="T33" s="860"/>
      <c r="U33" s="860"/>
      <c r="V33" s="1071">
        <f>Y33</f>
        <v>0</v>
      </c>
      <c r="W33" s="1071"/>
      <c r="X33" s="1071"/>
      <c r="Y33" s="1071">
        <v>0</v>
      </c>
      <c r="Z33" s="864">
        <f>B33+F33+N33+U33+V33</f>
        <v>99.00056</v>
      </c>
    </row>
    <row r="34" spans="1:26" s="367" customFormat="1" ht="24.75" customHeight="1">
      <c r="A34" s="366" t="s">
        <v>1193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860">
        <f>N33</f>
        <v>99.00056</v>
      </c>
      <c r="O34" s="860"/>
      <c r="P34" s="860">
        <f>P33</f>
        <v>99.00056</v>
      </c>
      <c r="Q34" s="860"/>
      <c r="R34" s="860"/>
      <c r="S34" s="860"/>
      <c r="T34" s="860"/>
      <c r="U34" s="860"/>
      <c r="V34" s="1071">
        <f>Y34</f>
        <v>0</v>
      </c>
      <c r="W34" s="1071"/>
      <c r="X34" s="1071"/>
      <c r="Y34" s="1071">
        <f>Y33</f>
        <v>0</v>
      </c>
      <c r="Z34" s="864">
        <f t="shared" si="4"/>
        <v>99.00056</v>
      </c>
    </row>
    <row r="35" spans="1:37" s="29" customFormat="1" ht="16.5" customHeight="1">
      <c r="A35" s="391" t="s">
        <v>921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557"/>
      <c r="W35" s="557"/>
      <c r="X35" s="557"/>
      <c r="Y35" s="557"/>
      <c r="Z35" s="310">
        <f t="shared" si="4"/>
        <v>0</v>
      </c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</row>
    <row r="36" spans="1:26" s="40" customFormat="1" ht="27.75" customHeight="1">
      <c r="A36" s="1028" t="s">
        <v>1158</v>
      </c>
      <c r="B36" s="324">
        <f>SUM(C36:D36)</f>
        <v>0</v>
      </c>
      <c r="C36" s="312"/>
      <c r="D36" s="312"/>
      <c r="E36" s="312"/>
      <c r="F36" s="324">
        <f>SUM(G36:L36)</f>
        <v>40</v>
      </c>
      <c r="G36" s="312"/>
      <c r="H36" s="312"/>
      <c r="I36" s="312"/>
      <c r="J36" s="312"/>
      <c r="K36" s="312"/>
      <c r="L36" s="312">
        <v>40</v>
      </c>
      <c r="M36" s="312"/>
      <c r="N36" s="312"/>
      <c r="O36" s="312"/>
      <c r="P36" s="324"/>
      <c r="Q36" s="324"/>
      <c r="R36" s="312"/>
      <c r="S36" s="312"/>
      <c r="T36" s="312"/>
      <c r="U36" s="312"/>
      <c r="V36" s="310">
        <f>SUM(W36:Y36)</f>
        <v>100</v>
      </c>
      <c r="W36" s="312"/>
      <c r="X36" s="312"/>
      <c r="Y36" s="312">
        <v>100</v>
      </c>
      <c r="Z36" s="310">
        <f t="shared" si="4"/>
        <v>140</v>
      </c>
    </row>
    <row r="37" spans="1:26" s="325" customFormat="1" ht="20.25" customHeight="1">
      <c r="A37" s="830" t="s">
        <v>792</v>
      </c>
      <c r="B37" s="310">
        <f aca="true" t="shared" si="6" ref="B37:L37">SUM(B36)</f>
        <v>0</v>
      </c>
      <c r="C37" s="310">
        <f t="shared" si="6"/>
        <v>0</v>
      </c>
      <c r="D37" s="310">
        <f t="shared" si="6"/>
        <v>0</v>
      </c>
      <c r="E37" s="310">
        <f t="shared" si="6"/>
        <v>0</v>
      </c>
      <c r="F37" s="324">
        <f aca="true" t="shared" si="7" ref="F37:F52">SUM(G37:L37)</f>
        <v>40</v>
      </c>
      <c r="G37" s="310">
        <f t="shared" si="6"/>
        <v>0</v>
      </c>
      <c r="H37" s="310">
        <f t="shared" si="6"/>
        <v>0</v>
      </c>
      <c r="I37" s="310">
        <f t="shared" si="6"/>
        <v>0</v>
      </c>
      <c r="J37" s="310">
        <f t="shared" si="6"/>
        <v>0</v>
      </c>
      <c r="K37" s="310">
        <f t="shared" si="6"/>
        <v>0</v>
      </c>
      <c r="L37" s="310">
        <f t="shared" si="6"/>
        <v>40</v>
      </c>
      <c r="M37" s="310"/>
      <c r="N37" s="310"/>
      <c r="O37" s="310"/>
      <c r="P37" s="310"/>
      <c r="Q37" s="310"/>
      <c r="R37" s="310">
        <f>SUM(R36)</f>
        <v>0</v>
      </c>
      <c r="S37" s="310"/>
      <c r="T37" s="310"/>
      <c r="U37" s="310">
        <f>SUM(U36:U36)</f>
        <v>0</v>
      </c>
      <c r="V37" s="310">
        <f>SUM(V36:V36)</f>
        <v>100</v>
      </c>
      <c r="W37" s="310">
        <f>SUM(W36:W36)</f>
        <v>0</v>
      </c>
      <c r="X37" s="310"/>
      <c r="Y37" s="310">
        <f>SUM(Y36:Y36)</f>
        <v>100</v>
      </c>
      <c r="Z37" s="310">
        <f t="shared" si="4"/>
        <v>140</v>
      </c>
    </row>
    <row r="38" spans="1:26" s="325" customFormat="1" ht="20.25" customHeight="1" hidden="1">
      <c r="A38" s="278"/>
      <c r="B38" s="310"/>
      <c r="C38" s="310"/>
      <c r="D38" s="310"/>
      <c r="E38" s="310"/>
      <c r="F38" s="324">
        <f t="shared" si="7"/>
        <v>0</v>
      </c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</row>
    <row r="39" spans="1:26" s="325" customFormat="1" ht="20.25" customHeight="1">
      <c r="A39" s="352" t="s">
        <v>721</v>
      </c>
      <c r="B39" s="395"/>
      <c r="C39" s="395"/>
      <c r="D39" s="395"/>
      <c r="E39" s="395"/>
      <c r="F39" s="397">
        <f>F34+F37</f>
        <v>40</v>
      </c>
      <c r="G39" s="397">
        <f aca="true" t="shared" si="8" ref="G39:Z39">G34+G37</f>
        <v>0</v>
      </c>
      <c r="H39" s="397">
        <f t="shared" si="8"/>
        <v>0</v>
      </c>
      <c r="I39" s="397">
        <f t="shared" si="8"/>
        <v>0</v>
      </c>
      <c r="J39" s="397">
        <f t="shared" si="8"/>
        <v>0</v>
      </c>
      <c r="K39" s="397">
        <f t="shared" si="8"/>
        <v>0</v>
      </c>
      <c r="L39" s="397">
        <f t="shared" si="8"/>
        <v>40</v>
      </c>
      <c r="M39" s="397"/>
      <c r="N39" s="862">
        <f t="shared" si="8"/>
        <v>99.00056</v>
      </c>
      <c r="O39" s="862">
        <f t="shared" si="8"/>
        <v>0</v>
      </c>
      <c r="P39" s="862">
        <f t="shared" si="8"/>
        <v>99.00056</v>
      </c>
      <c r="Q39" s="862">
        <f t="shared" si="8"/>
        <v>0</v>
      </c>
      <c r="R39" s="862">
        <f t="shared" si="8"/>
        <v>0</v>
      </c>
      <c r="S39" s="862">
        <f t="shared" si="8"/>
        <v>0</v>
      </c>
      <c r="T39" s="862"/>
      <c r="U39" s="862">
        <f t="shared" si="8"/>
        <v>0</v>
      </c>
      <c r="V39" s="862">
        <f t="shared" si="8"/>
        <v>100</v>
      </c>
      <c r="W39" s="862">
        <f t="shared" si="8"/>
        <v>0</v>
      </c>
      <c r="X39" s="862"/>
      <c r="Y39" s="862">
        <f t="shared" si="8"/>
        <v>100</v>
      </c>
      <c r="Z39" s="862">
        <f t="shared" si="8"/>
        <v>239.00056</v>
      </c>
    </row>
    <row r="40" spans="1:26" s="325" customFormat="1" ht="15" customHeight="1">
      <c r="A40" s="828" t="s">
        <v>935</v>
      </c>
      <c r="B40" s="310"/>
      <c r="C40" s="310"/>
      <c r="D40" s="310"/>
      <c r="E40" s="310"/>
      <c r="F40" s="324">
        <f t="shared" si="7"/>
        <v>0</v>
      </c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</row>
    <row r="41" spans="1:38" s="1" customFormat="1" ht="58.5" customHeight="1">
      <c r="A41" s="858" t="s">
        <v>936</v>
      </c>
      <c r="B41" s="310">
        <f>SUM(C41:D41)</f>
        <v>0</v>
      </c>
      <c r="C41" s="312"/>
      <c r="D41" s="312"/>
      <c r="E41" s="310"/>
      <c r="F41" s="860">
        <f t="shared" si="7"/>
        <v>98.36028</v>
      </c>
      <c r="G41" s="312"/>
      <c r="H41" s="312"/>
      <c r="I41" s="312"/>
      <c r="J41" s="310"/>
      <c r="K41" s="312"/>
      <c r="L41" s="859">
        <v>98.36028</v>
      </c>
      <c r="M41" s="859"/>
      <c r="N41" s="312"/>
      <c r="O41" s="312"/>
      <c r="P41" s="310"/>
      <c r="Q41" s="310"/>
      <c r="R41" s="312"/>
      <c r="S41" s="312"/>
      <c r="T41" s="312"/>
      <c r="U41" s="310"/>
      <c r="V41" s="310">
        <f>SUM(W41:Y41)</f>
        <v>0</v>
      </c>
      <c r="X41" s="312"/>
      <c r="Y41" s="312"/>
      <c r="Z41" s="864">
        <f>B41+F41+N41+U41+V41</f>
        <v>98.36028</v>
      </c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</row>
    <row r="42" spans="1:26" s="325" customFormat="1" ht="15" customHeight="1">
      <c r="A42" s="323" t="s">
        <v>530</v>
      </c>
      <c r="B42" s="310"/>
      <c r="C42" s="310"/>
      <c r="D42" s="310"/>
      <c r="E42" s="310"/>
      <c r="F42" s="324">
        <f t="shared" si="7"/>
        <v>0</v>
      </c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</row>
    <row r="43" spans="1:38" s="1" customFormat="1" ht="27.75" customHeight="1">
      <c r="A43" s="326" t="s">
        <v>253</v>
      </c>
      <c r="B43" s="310">
        <f>SUM(C43:D43)</f>
        <v>0</v>
      </c>
      <c r="C43" s="312"/>
      <c r="D43" s="312"/>
      <c r="E43" s="310"/>
      <c r="F43" s="324">
        <f t="shared" si="7"/>
        <v>0</v>
      </c>
      <c r="G43" s="312"/>
      <c r="H43" s="312"/>
      <c r="I43" s="312"/>
      <c r="J43" s="310"/>
      <c r="K43" s="312"/>
      <c r="L43" s="312"/>
      <c r="M43" s="312"/>
      <c r="N43" s="312">
        <f>O43</f>
        <v>0</v>
      </c>
      <c r="O43" s="312">
        <v>0</v>
      </c>
      <c r="P43" s="310"/>
      <c r="Q43" s="310"/>
      <c r="R43" s="312"/>
      <c r="S43" s="312"/>
      <c r="T43" s="312"/>
      <c r="U43" s="310"/>
      <c r="V43" s="310">
        <f>SUM(W43:Y43)</f>
        <v>0</v>
      </c>
      <c r="W43" s="312"/>
      <c r="X43" s="312"/>
      <c r="Y43" s="312"/>
      <c r="Z43" s="310">
        <f>B43+F43+N43+U43+V43</f>
        <v>0</v>
      </c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</row>
    <row r="44" spans="1:38" s="1" customFormat="1" ht="27.75" customHeight="1">
      <c r="A44" s="829" t="s">
        <v>1195</v>
      </c>
      <c r="B44" s="310"/>
      <c r="C44" s="312"/>
      <c r="D44" s="312"/>
      <c r="E44" s="310"/>
      <c r="F44" s="324"/>
      <c r="G44" s="312"/>
      <c r="H44" s="312"/>
      <c r="I44" s="312"/>
      <c r="J44" s="310"/>
      <c r="K44" s="312"/>
      <c r="L44" s="312"/>
      <c r="M44" s="312"/>
      <c r="N44" s="312"/>
      <c r="O44" s="312"/>
      <c r="P44" s="310"/>
      <c r="Q44" s="310"/>
      <c r="R44" s="312"/>
      <c r="S44" s="312"/>
      <c r="T44" s="312"/>
      <c r="U44" s="310"/>
      <c r="V44" s="310"/>
      <c r="W44" s="312"/>
      <c r="X44" s="312"/>
      <c r="Y44" s="312"/>
      <c r="Z44" s="310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</row>
    <row r="45" spans="1:38" s="1" customFormat="1" ht="21" customHeight="1">
      <c r="A45" s="326" t="s">
        <v>553</v>
      </c>
      <c r="B45" s="310"/>
      <c r="C45" s="312"/>
      <c r="D45" s="312"/>
      <c r="E45" s="310"/>
      <c r="F45" s="324"/>
      <c r="G45" s="312"/>
      <c r="H45" s="312"/>
      <c r="I45" s="312"/>
      <c r="J45" s="310"/>
      <c r="K45" s="312"/>
      <c r="L45" s="312"/>
      <c r="M45" s="312"/>
      <c r="N45" s="312"/>
      <c r="O45" s="312"/>
      <c r="P45" s="310"/>
      <c r="Q45" s="310"/>
      <c r="R45" s="312"/>
      <c r="S45" s="312"/>
      <c r="T45" s="312"/>
      <c r="U45" s="310"/>
      <c r="V45" s="801">
        <f>W45</f>
        <v>564.4</v>
      </c>
      <c r="W45" s="736">
        <v>564.4</v>
      </c>
      <c r="X45" s="736"/>
      <c r="Y45" s="736"/>
      <c r="Z45" s="801">
        <f>V45</f>
        <v>564.4</v>
      </c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</row>
    <row r="46" spans="1:26" s="41" customFormat="1" ht="20.25" customHeight="1">
      <c r="A46" s="347" t="s">
        <v>451</v>
      </c>
      <c r="B46" s="395"/>
      <c r="C46" s="395"/>
      <c r="D46" s="395"/>
      <c r="E46" s="395"/>
      <c r="F46" s="862">
        <f t="shared" si="7"/>
        <v>98.36028</v>
      </c>
      <c r="G46" s="395">
        <f aca="true" t="shared" si="9" ref="G46:Y46">SUM(G41)</f>
        <v>0</v>
      </c>
      <c r="H46" s="395">
        <f t="shared" si="9"/>
        <v>0</v>
      </c>
      <c r="I46" s="395">
        <f t="shared" si="9"/>
        <v>0</v>
      </c>
      <c r="J46" s="395">
        <f t="shared" si="9"/>
        <v>0</v>
      </c>
      <c r="K46" s="395">
        <f>SUM(K41:K43)</f>
        <v>0</v>
      </c>
      <c r="L46" s="863">
        <f t="shared" si="9"/>
        <v>98.36028</v>
      </c>
      <c r="M46" s="863"/>
      <c r="N46" s="395">
        <f>N43</f>
        <v>0</v>
      </c>
      <c r="O46" s="395">
        <f>O43</f>
        <v>0</v>
      </c>
      <c r="P46" s="395">
        <f t="shared" si="9"/>
        <v>0</v>
      </c>
      <c r="Q46" s="395">
        <f t="shared" si="9"/>
        <v>0</v>
      </c>
      <c r="R46" s="395">
        <f t="shared" si="9"/>
        <v>0</v>
      </c>
      <c r="S46" s="395"/>
      <c r="T46" s="395"/>
      <c r="U46" s="395">
        <f t="shared" si="9"/>
        <v>0</v>
      </c>
      <c r="V46" s="738">
        <f>V45</f>
        <v>564.4</v>
      </c>
      <c r="W46" s="738">
        <f>SUM(W45)</f>
        <v>564.4</v>
      </c>
      <c r="X46" s="395"/>
      <c r="Y46" s="395">
        <f t="shared" si="9"/>
        <v>0</v>
      </c>
      <c r="Z46" s="863">
        <f>SUM(Z41:Z45)</f>
        <v>662.76028</v>
      </c>
    </row>
    <row r="47" spans="1:26" s="603" customFormat="1" ht="20.25" customHeight="1" hidden="1">
      <c r="A47" s="604" t="s">
        <v>593</v>
      </c>
      <c r="B47" s="557"/>
      <c r="C47" s="557"/>
      <c r="D47" s="557"/>
      <c r="E47" s="557"/>
      <c r="F47" s="566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557"/>
      <c r="R47" s="557"/>
      <c r="S47" s="557"/>
      <c r="T47" s="557"/>
      <c r="U47" s="557"/>
      <c r="V47" s="557"/>
      <c r="W47" s="557"/>
      <c r="X47" s="557"/>
      <c r="Y47" s="557"/>
      <c r="Z47" s="557"/>
    </row>
    <row r="48" spans="1:26" s="603" customFormat="1" ht="44.25" customHeight="1" hidden="1">
      <c r="A48" s="605" t="s">
        <v>594</v>
      </c>
      <c r="B48" s="557"/>
      <c r="C48" s="557"/>
      <c r="D48" s="557"/>
      <c r="E48" s="557"/>
      <c r="F48" s="607">
        <f>L48</f>
        <v>0</v>
      </c>
      <c r="G48" s="602"/>
      <c r="H48" s="602"/>
      <c r="I48" s="602"/>
      <c r="J48" s="602"/>
      <c r="K48" s="602"/>
      <c r="L48" s="606"/>
      <c r="M48" s="606"/>
      <c r="N48" s="602">
        <f>O48</f>
        <v>0</v>
      </c>
      <c r="O48" s="602"/>
      <c r="P48" s="557"/>
      <c r="Q48" s="557"/>
      <c r="R48" s="557"/>
      <c r="S48" s="557"/>
      <c r="T48" s="557"/>
      <c r="U48" s="557"/>
      <c r="V48" s="557"/>
      <c r="W48" s="557"/>
      <c r="X48" s="557"/>
      <c r="Y48" s="557"/>
      <c r="Z48" s="602">
        <f>N48</f>
        <v>0</v>
      </c>
    </row>
    <row r="49" spans="1:26" s="603" customFormat="1" ht="20.25" customHeight="1" hidden="1">
      <c r="A49" s="604"/>
      <c r="B49" s="557"/>
      <c r="C49" s="557"/>
      <c r="D49" s="557"/>
      <c r="E49" s="557"/>
      <c r="F49" s="607"/>
      <c r="G49" s="602"/>
      <c r="H49" s="602"/>
      <c r="I49" s="602"/>
      <c r="J49" s="602"/>
      <c r="K49" s="602"/>
      <c r="L49" s="602"/>
      <c r="M49" s="602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602"/>
    </row>
    <row r="50" spans="1:26" s="325" customFormat="1" ht="15" customHeight="1" hidden="1">
      <c r="A50" s="323" t="s">
        <v>559</v>
      </c>
      <c r="B50" s="310"/>
      <c r="C50" s="310"/>
      <c r="D50" s="310"/>
      <c r="E50" s="310"/>
      <c r="F50" s="596">
        <f t="shared" si="7"/>
        <v>0</v>
      </c>
      <c r="G50" s="593"/>
      <c r="H50" s="593"/>
      <c r="I50" s="593"/>
      <c r="J50" s="593"/>
      <c r="K50" s="593"/>
      <c r="L50" s="593"/>
      <c r="M50" s="593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593"/>
    </row>
    <row r="51" spans="1:38" s="1" customFormat="1" ht="43.5" customHeight="1" hidden="1">
      <c r="A51" s="393" t="s">
        <v>69</v>
      </c>
      <c r="B51" s="310">
        <f>SUM(C51:D51)</f>
        <v>0</v>
      </c>
      <c r="C51" s="312"/>
      <c r="D51" s="312"/>
      <c r="E51" s="310"/>
      <c r="F51" s="324">
        <f t="shared" si="7"/>
        <v>0</v>
      </c>
      <c r="G51" s="312"/>
      <c r="H51" s="312"/>
      <c r="I51" s="312"/>
      <c r="J51" s="310"/>
      <c r="K51" s="312"/>
      <c r="L51" s="312">
        <v>0</v>
      </c>
      <c r="M51" s="312"/>
      <c r="N51" s="312"/>
      <c r="O51" s="312"/>
      <c r="P51" s="310"/>
      <c r="Q51" s="310"/>
      <c r="R51" s="312"/>
      <c r="S51" s="312"/>
      <c r="T51" s="312"/>
      <c r="U51" s="310"/>
      <c r="V51" s="310">
        <f>SUM(W51:Y51)</f>
        <v>0</v>
      </c>
      <c r="W51" s="312"/>
      <c r="X51" s="312"/>
      <c r="Y51" s="312"/>
      <c r="Z51" s="310">
        <f>B51+F51+N51+U51+V51</f>
        <v>0</v>
      </c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</row>
    <row r="52" spans="1:26" s="41" customFormat="1" ht="20.25" customHeight="1" hidden="1">
      <c r="A52" s="347" t="s">
        <v>453</v>
      </c>
      <c r="B52" s="395"/>
      <c r="C52" s="395"/>
      <c r="D52" s="395"/>
      <c r="E52" s="395"/>
      <c r="F52" s="397">
        <f t="shared" si="7"/>
        <v>0</v>
      </c>
      <c r="G52" s="395">
        <f>SUM(G46)</f>
        <v>0</v>
      </c>
      <c r="H52" s="395">
        <f>SUM(H46)</f>
        <v>0</v>
      </c>
      <c r="I52" s="395">
        <f>SUM(I46)</f>
        <v>0</v>
      </c>
      <c r="J52" s="395">
        <f>SUM(J46)</f>
        <v>0</v>
      </c>
      <c r="K52" s="395"/>
      <c r="L52" s="395">
        <f>SUM(L48:L51)</f>
        <v>0</v>
      </c>
      <c r="M52" s="395"/>
      <c r="N52" s="594">
        <f>N48</f>
        <v>0</v>
      </c>
      <c r="O52" s="594">
        <f>O48</f>
        <v>0</v>
      </c>
      <c r="P52" s="594">
        <f>P48</f>
        <v>0</v>
      </c>
      <c r="Q52" s="395">
        <f aca="true" t="shared" si="10" ref="Q52:Y52">SUM(Q51)</f>
        <v>0</v>
      </c>
      <c r="R52" s="395">
        <f t="shared" si="10"/>
        <v>0</v>
      </c>
      <c r="S52" s="395"/>
      <c r="T52" s="395"/>
      <c r="U52" s="395">
        <f t="shared" si="10"/>
        <v>0</v>
      </c>
      <c r="V52" s="395">
        <f t="shared" si="10"/>
        <v>0</v>
      </c>
      <c r="W52" s="395">
        <f t="shared" si="10"/>
        <v>0</v>
      </c>
      <c r="X52" s="395"/>
      <c r="Y52" s="395">
        <f t="shared" si="10"/>
        <v>0</v>
      </c>
      <c r="Z52" s="594">
        <f>SUM(Z48:Z51)</f>
        <v>0</v>
      </c>
    </row>
    <row r="53" spans="1:38" s="1" customFormat="1" ht="15" customHeight="1" hidden="1">
      <c r="A53" s="323" t="s">
        <v>207</v>
      </c>
      <c r="B53" s="310"/>
      <c r="C53" s="312"/>
      <c r="D53" s="312"/>
      <c r="E53" s="310"/>
      <c r="F53" s="310"/>
      <c r="G53" s="312"/>
      <c r="H53" s="312"/>
      <c r="I53" s="312"/>
      <c r="J53" s="310"/>
      <c r="K53" s="312"/>
      <c r="L53" s="312"/>
      <c r="M53" s="312"/>
      <c r="N53" s="312"/>
      <c r="O53" s="312"/>
      <c r="P53" s="310"/>
      <c r="Q53" s="310"/>
      <c r="R53" s="312"/>
      <c r="S53" s="312"/>
      <c r="T53" s="312"/>
      <c r="U53" s="310"/>
      <c r="V53" s="310"/>
      <c r="W53" s="312"/>
      <c r="X53" s="312"/>
      <c r="Y53" s="312"/>
      <c r="Z53" s="310">
        <f>B53+F53+N53+U53+V53</f>
        <v>0</v>
      </c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</row>
    <row r="54" spans="1:38" s="343" customFormat="1" ht="25.5" customHeight="1" hidden="1">
      <c r="A54" s="339" t="s">
        <v>254</v>
      </c>
      <c r="B54" s="340"/>
      <c r="C54" s="340"/>
      <c r="D54" s="340"/>
      <c r="E54" s="340"/>
      <c r="F54" s="340">
        <f>SUM(G54:K54)</f>
        <v>0</v>
      </c>
      <c r="G54" s="340"/>
      <c r="H54" s="341"/>
      <c r="I54" s="340"/>
      <c r="J54" s="340"/>
      <c r="K54" s="340"/>
      <c r="L54" s="340"/>
      <c r="M54" s="340"/>
      <c r="N54" s="340">
        <f>SUM(O54:P54)</f>
        <v>0</v>
      </c>
      <c r="O54" s="341"/>
      <c r="P54" s="340"/>
      <c r="Q54" s="340"/>
      <c r="R54" s="340"/>
      <c r="S54" s="340"/>
      <c r="T54" s="340"/>
      <c r="U54" s="340"/>
      <c r="V54" s="340">
        <f>SUM(W54:Y54)</f>
        <v>0</v>
      </c>
      <c r="W54" s="340">
        <f>340-340</f>
        <v>0</v>
      </c>
      <c r="X54" s="340"/>
      <c r="Y54" s="340"/>
      <c r="Z54" s="340">
        <f>B54+F54+N54+U54+V54</f>
        <v>0</v>
      </c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</row>
    <row r="55" spans="1:38" s="1" customFormat="1" ht="45.75" hidden="1">
      <c r="A55" s="327" t="s">
        <v>208</v>
      </c>
      <c r="B55" s="310">
        <f>SUM(C55:D55)</f>
        <v>0</v>
      </c>
      <c r="C55" s="312"/>
      <c r="D55" s="312"/>
      <c r="E55" s="310">
        <f>SUM(F55:I55)</f>
        <v>0</v>
      </c>
      <c r="F55" s="310">
        <f>H55</f>
        <v>0</v>
      </c>
      <c r="G55" s="312"/>
      <c r="H55" s="312"/>
      <c r="I55" s="312"/>
      <c r="J55" s="310">
        <f>SUM(K55:L55)</f>
        <v>0</v>
      </c>
      <c r="K55" s="312"/>
      <c r="L55" s="312"/>
      <c r="M55" s="312"/>
      <c r="N55" s="310">
        <f>SUM(O55:P55)</f>
        <v>0</v>
      </c>
      <c r="O55" s="312"/>
      <c r="P55" s="310"/>
      <c r="Q55" s="310"/>
      <c r="R55" s="312"/>
      <c r="S55" s="312"/>
      <c r="T55" s="312"/>
      <c r="U55" s="310"/>
      <c r="V55" s="310">
        <f>SUM(W55:Y55)</f>
        <v>0</v>
      </c>
      <c r="W55" s="312"/>
      <c r="X55" s="312"/>
      <c r="Y55" s="312"/>
      <c r="Z55" s="310">
        <f>B55+F55+N55+U55+V55</f>
        <v>0</v>
      </c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</row>
    <row r="56" spans="1:38" s="43" customFormat="1" ht="21" customHeight="1" hidden="1">
      <c r="A56" s="345" t="s">
        <v>255</v>
      </c>
      <c r="B56" s="310">
        <f>SUM(B54:B55)</f>
        <v>0</v>
      </c>
      <c r="C56" s="310">
        <f aca="true" t="shared" si="11" ref="C56:Z56">SUM(C54:C55)</f>
        <v>0</v>
      </c>
      <c r="D56" s="310">
        <f t="shared" si="11"/>
        <v>0</v>
      </c>
      <c r="E56" s="310">
        <f t="shared" si="11"/>
        <v>0</v>
      </c>
      <c r="F56" s="310">
        <f t="shared" si="11"/>
        <v>0</v>
      </c>
      <c r="G56" s="310">
        <f t="shared" si="11"/>
        <v>0</v>
      </c>
      <c r="H56" s="310">
        <f t="shared" si="11"/>
        <v>0</v>
      </c>
      <c r="I56" s="310">
        <f t="shared" si="11"/>
        <v>0</v>
      </c>
      <c r="J56" s="310">
        <f t="shared" si="11"/>
        <v>0</v>
      </c>
      <c r="K56" s="310">
        <f t="shared" si="11"/>
        <v>0</v>
      </c>
      <c r="L56" s="310">
        <f t="shared" si="11"/>
        <v>0</v>
      </c>
      <c r="M56" s="310"/>
      <c r="N56" s="310">
        <f>SUM(O56:P56)</f>
        <v>0</v>
      </c>
      <c r="O56" s="310">
        <f>SUM(O54)</f>
        <v>0</v>
      </c>
      <c r="P56" s="310">
        <f>SUM(P54)</f>
        <v>0</v>
      </c>
      <c r="Q56" s="310"/>
      <c r="R56" s="310">
        <f t="shared" si="11"/>
        <v>0</v>
      </c>
      <c r="S56" s="310"/>
      <c r="T56" s="310"/>
      <c r="U56" s="310">
        <f t="shared" si="11"/>
        <v>0</v>
      </c>
      <c r="V56" s="310">
        <f t="shared" si="11"/>
        <v>0</v>
      </c>
      <c r="W56" s="310">
        <f t="shared" si="11"/>
        <v>0</v>
      </c>
      <c r="X56" s="310"/>
      <c r="Y56" s="310">
        <f t="shared" si="11"/>
        <v>0</v>
      </c>
      <c r="Z56" s="310">
        <f t="shared" si="11"/>
        <v>0</v>
      </c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</row>
    <row r="57" spans="1:38" s="43" customFormat="1" ht="48.75" customHeight="1" hidden="1">
      <c r="A57" s="569" t="s">
        <v>596</v>
      </c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>
        <f>W57</f>
        <v>0</v>
      </c>
      <c r="W57" s="310"/>
      <c r="X57" s="310"/>
      <c r="Y57" s="310"/>
      <c r="Z57" s="310">
        <f>V57</f>
        <v>0</v>
      </c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</row>
    <row r="58" spans="1:38" s="43" customFormat="1" ht="21" customHeight="1" hidden="1">
      <c r="A58" s="345" t="s">
        <v>595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>
        <f>V57</f>
        <v>0</v>
      </c>
      <c r="W58" s="310">
        <f>W57</f>
        <v>0</v>
      </c>
      <c r="X58" s="310">
        <f>X57</f>
        <v>0</v>
      </c>
      <c r="Y58" s="310">
        <f>Y57</f>
        <v>0</v>
      </c>
      <c r="Z58" s="310">
        <f>Z57</f>
        <v>0</v>
      </c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</row>
    <row r="59" spans="1:38" s="43" customFormat="1" ht="52.5" customHeight="1" hidden="1">
      <c r="A59" s="698" t="s">
        <v>601</v>
      </c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>
        <f>N60</f>
        <v>0</v>
      </c>
      <c r="O59" s="310"/>
      <c r="P59" s="310">
        <v>0</v>
      </c>
      <c r="Q59" s="310"/>
      <c r="R59" s="310"/>
      <c r="S59" s="310"/>
      <c r="T59" s="310"/>
      <c r="U59" s="310"/>
      <c r="V59" s="310"/>
      <c r="W59" s="310"/>
      <c r="X59" s="310"/>
      <c r="Y59" s="310"/>
      <c r="Z59" s="310">
        <f>N59</f>
        <v>0</v>
      </c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</row>
    <row r="60" spans="1:38" s="43" customFormat="1" ht="21" customHeight="1" hidden="1">
      <c r="A60" s="345" t="s">
        <v>568</v>
      </c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>
        <f>P60</f>
        <v>0</v>
      </c>
      <c r="O60" s="310">
        <f>O58</f>
        <v>0</v>
      </c>
      <c r="P60" s="310">
        <f>P59</f>
        <v>0</v>
      </c>
      <c r="Q60" s="310"/>
      <c r="R60" s="310"/>
      <c r="S60" s="310"/>
      <c r="T60" s="310"/>
      <c r="U60" s="310"/>
      <c r="V60" s="310"/>
      <c r="W60" s="310"/>
      <c r="X60" s="310"/>
      <c r="Y60" s="310"/>
      <c r="Z60" s="310">
        <f>Z59</f>
        <v>0</v>
      </c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</row>
    <row r="61" spans="1:38" s="43" customFormat="1" ht="21" customHeight="1" hidden="1">
      <c r="A61" s="345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</row>
    <row r="62" spans="1:38" s="43" customFormat="1" ht="21" customHeight="1" hidden="1">
      <c r="A62" s="345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</row>
    <row r="63" spans="1:38" s="43" customFormat="1" ht="21" customHeight="1" hidden="1">
      <c r="A63" s="345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</row>
    <row r="64" spans="1:38" s="43" customFormat="1" ht="125.25" customHeight="1" hidden="1">
      <c r="A64" s="569" t="s">
        <v>2</v>
      </c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>
        <f>P64</f>
        <v>0</v>
      </c>
      <c r="O64" s="310"/>
      <c r="P64" s="310">
        <v>0</v>
      </c>
      <c r="Q64" s="310"/>
      <c r="R64" s="310"/>
      <c r="S64" s="310"/>
      <c r="T64" s="310"/>
      <c r="U64" s="310"/>
      <c r="V64" s="310"/>
      <c r="W64" s="310"/>
      <c r="X64" s="310"/>
      <c r="Y64" s="310"/>
      <c r="Z64" s="310">
        <f>N64</f>
        <v>0</v>
      </c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</row>
    <row r="65" spans="1:38" s="43" customFormat="1" ht="21" customHeight="1" hidden="1">
      <c r="A65" s="345" t="s">
        <v>758</v>
      </c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>
        <f>N64</f>
        <v>0</v>
      </c>
      <c r="O65" s="310"/>
      <c r="P65" s="310">
        <f>P64</f>
        <v>0</v>
      </c>
      <c r="Q65" s="310"/>
      <c r="R65" s="310"/>
      <c r="S65" s="310"/>
      <c r="T65" s="310"/>
      <c r="U65" s="310"/>
      <c r="V65" s="310"/>
      <c r="W65" s="310"/>
      <c r="X65" s="310"/>
      <c r="Y65" s="310"/>
      <c r="Z65" s="310">
        <f>N65</f>
        <v>0</v>
      </c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</row>
    <row r="66" spans="1:38" s="43" customFormat="1" ht="48.75" customHeight="1" hidden="1">
      <c r="A66" s="569" t="s">
        <v>596</v>
      </c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>
        <f>W66</f>
        <v>0</v>
      </c>
      <c r="W66" s="310"/>
      <c r="X66" s="310"/>
      <c r="Y66" s="310"/>
      <c r="Z66" s="310">
        <f>V66</f>
        <v>0</v>
      </c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</row>
    <row r="67" spans="1:38" s="43" customFormat="1" ht="21" customHeight="1" hidden="1">
      <c r="A67" s="345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</row>
    <row r="68" spans="1:38" s="43" customFormat="1" ht="21" customHeight="1" hidden="1">
      <c r="A68" s="345" t="s">
        <v>757</v>
      </c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>
        <f>V66</f>
        <v>0</v>
      </c>
      <c r="W68" s="310">
        <f>W66</f>
        <v>0</v>
      </c>
      <c r="X68" s="310">
        <f>X66</f>
        <v>0</v>
      </c>
      <c r="Y68" s="310">
        <f>Y66</f>
        <v>0</v>
      </c>
      <c r="Z68" s="310">
        <f>Z66</f>
        <v>0</v>
      </c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</row>
    <row r="69" spans="1:38" s="1" customFormat="1" ht="15.75" hidden="1">
      <c r="A69" s="347" t="s">
        <v>209</v>
      </c>
      <c r="B69" s="395"/>
      <c r="C69" s="524"/>
      <c r="D69" s="524"/>
      <c r="E69" s="395"/>
      <c r="F69" s="395"/>
      <c r="G69" s="524"/>
      <c r="H69" s="524"/>
      <c r="I69" s="524"/>
      <c r="J69" s="395"/>
      <c r="K69" s="524"/>
      <c r="L69" s="524"/>
      <c r="M69" s="524"/>
      <c r="N69" s="395">
        <f>N59+N64</f>
        <v>0</v>
      </c>
      <c r="O69" s="395">
        <f>O59</f>
        <v>0</v>
      </c>
      <c r="P69" s="395">
        <f>P60+P64</f>
        <v>0</v>
      </c>
      <c r="Q69" s="395"/>
      <c r="R69" s="524"/>
      <c r="S69" s="524"/>
      <c r="T69" s="524"/>
      <c r="U69" s="395"/>
      <c r="V69" s="395">
        <f>V57+V66</f>
        <v>0</v>
      </c>
      <c r="W69" s="395">
        <f>W57+W66</f>
        <v>0</v>
      </c>
      <c r="X69" s="395">
        <f>X57+X66</f>
        <v>0</v>
      </c>
      <c r="Y69" s="395">
        <f>Y57+Y66</f>
        <v>0</v>
      </c>
      <c r="Z69" s="395">
        <f>B69+F69+N69+U69+V69</f>
        <v>0</v>
      </c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</row>
    <row r="70" spans="1:38" s="1" customFormat="1" ht="42.75" customHeight="1" hidden="1">
      <c r="A70" s="323" t="s">
        <v>454</v>
      </c>
      <c r="B70" s="310"/>
      <c r="C70" s="312"/>
      <c r="D70" s="312"/>
      <c r="E70" s="310"/>
      <c r="F70" s="310"/>
      <c r="G70" s="312"/>
      <c r="H70" s="312"/>
      <c r="I70" s="312"/>
      <c r="J70" s="310">
        <f>SUM(K70:L70)</f>
        <v>0</v>
      </c>
      <c r="K70" s="312"/>
      <c r="L70" s="312"/>
      <c r="M70" s="312"/>
      <c r="N70" s="312">
        <f>SUM(O70:P70)</f>
        <v>0</v>
      </c>
      <c r="O70" s="312">
        <v>0</v>
      </c>
      <c r="P70" s="310"/>
      <c r="Q70" s="310"/>
      <c r="R70" s="312"/>
      <c r="S70" s="312"/>
      <c r="T70" s="312"/>
      <c r="U70" s="310"/>
      <c r="V70" s="310"/>
      <c r="W70" s="312"/>
      <c r="X70" s="312"/>
      <c r="Y70" s="312"/>
      <c r="Z70" s="310">
        <f>B70+F70+N70+U70+V70</f>
        <v>0</v>
      </c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</row>
    <row r="71" spans="1:38" s="1" customFormat="1" ht="43.5" customHeight="1" hidden="1">
      <c r="A71" s="326" t="s">
        <v>211</v>
      </c>
      <c r="B71" s="310">
        <f aca="true" t="shared" si="12" ref="B71:R71">SUM(B70)</f>
        <v>0</v>
      </c>
      <c r="C71" s="310">
        <f t="shared" si="12"/>
        <v>0</v>
      </c>
      <c r="D71" s="310">
        <f t="shared" si="12"/>
        <v>0</v>
      </c>
      <c r="E71" s="310">
        <f t="shared" si="12"/>
        <v>0</v>
      </c>
      <c r="F71" s="310">
        <f t="shared" si="12"/>
        <v>0</v>
      </c>
      <c r="G71" s="310">
        <f t="shared" si="12"/>
        <v>0</v>
      </c>
      <c r="H71" s="310">
        <f t="shared" si="12"/>
        <v>0</v>
      </c>
      <c r="I71" s="310">
        <f t="shared" si="12"/>
        <v>0</v>
      </c>
      <c r="J71" s="310">
        <f t="shared" si="12"/>
        <v>0</v>
      </c>
      <c r="K71" s="310">
        <f t="shared" si="12"/>
        <v>0</v>
      </c>
      <c r="L71" s="310">
        <f t="shared" si="12"/>
        <v>0</v>
      </c>
      <c r="M71" s="310"/>
      <c r="N71" s="310">
        <f t="shared" si="12"/>
        <v>0</v>
      </c>
      <c r="O71" s="310">
        <f t="shared" si="12"/>
        <v>0</v>
      </c>
      <c r="P71" s="310">
        <f t="shared" si="12"/>
        <v>0</v>
      </c>
      <c r="Q71" s="310">
        <f t="shared" si="12"/>
        <v>0</v>
      </c>
      <c r="R71" s="310">
        <f t="shared" si="12"/>
        <v>0</v>
      </c>
      <c r="S71" s="310"/>
      <c r="T71" s="310"/>
      <c r="U71" s="310">
        <f>SUM(U70)</f>
        <v>0</v>
      </c>
      <c r="V71" s="310">
        <f>SUM(V70)</f>
        <v>0</v>
      </c>
      <c r="W71" s="310">
        <f>SUM(W70)</f>
        <v>0</v>
      </c>
      <c r="X71" s="310"/>
      <c r="Y71" s="310">
        <f>SUM(Y70)</f>
        <v>0</v>
      </c>
      <c r="Z71" s="310">
        <f>SUM(Z70)</f>
        <v>0</v>
      </c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</row>
    <row r="72" spans="1:38" s="1" customFormat="1" ht="15.75" hidden="1">
      <c r="A72" s="323" t="s">
        <v>455</v>
      </c>
      <c r="B72" s="310"/>
      <c r="C72" s="312"/>
      <c r="D72" s="312"/>
      <c r="E72" s="310"/>
      <c r="F72" s="310"/>
      <c r="G72" s="312"/>
      <c r="H72" s="312"/>
      <c r="I72" s="312"/>
      <c r="J72" s="310"/>
      <c r="K72" s="312"/>
      <c r="L72" s="312"/>
      <c r="M72" s="312"/>
      <c r="N72" s="310">
        <f>SUM(O72:P72)</f>
        <v>0</v>
      </c>
      <c r="O72" s="312"/>
      <c r="P72" s="310"/>
      <c r="Q72" s="310"/>
      <c r="R72" s="312"/>
      <c r="S72" s="312"/>
      <c r="T72" s="312"/>
      <c r="U72" s="310"/>
      <c r="V72" s="310"/>
      <c r="W72" s="312"/>
      <c r="X72" s="312"/>
      <c r="Y72" s="312"/>
      <c r="Z72" s="310">
        <f>B72+F72+N72+U72+V72</f>
        <v>0</v>
      </c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</row>
    <row r="73" spans="1:38" s="344" customFormat="1" ht="26.25" customHeight="1" hidden="1">
      <c r="A73" s="323" t="s">
        <v>456</v>
      </c>
      <c r="B73" s="310"/>
      <c r="C73" s="312"/>
      <c r="D73" s="312"/>
      <c r="E73" s="310">
        <f>H73</f>
        <v>0</v>
      </c>
      <c r="F73" s="310">
        <f>SUM(G73:L73)</f>
        <v>0</v>
      </c>
      <c r="G73" s="312"/>
      <c r="H73" s="312"/>
      <c r="I73" s="312"/>
      <c r="J73" s="310"/>
      <c r="K73" s="312"/>
      <c r="L73" s="312"/>
      <c r="M73" s="312"/>
      <c r="N73" s="310">
        <f>SUM(O73:P73)</f>
        <v>0</v>
      </c>
      <c r="O73" s="312"/>
      <c r="P73" s="310"/>
      <c r="Q73" s="310"/>
      <c r="R73" s="312"/>
      <c r="S73" s="312"/>
      <c r="T73" s="312"/>
      <c r="U73" s="310"/>
      <c r="V73" s="310"/>
      <c r="W73" s="312"/>
      <c r="X73" s="312"/>
      <c r="Y73" s="312"/>
      <c r="Z73" s="310">
        <f>B73+F73+N73+U73+V73</f>
        <v>0</v>
      </c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</row>
    <row r="74" spans="1:38" s="344" customFormat="1" ht="56.25" customHeight="1" hidden="1">
      <c r="A74" s="233" t="s">
        <v>555</v>
      </c>
      <c r="B74" s="310"/>
      <c r="C74" s="312"/>
      <c r="D74" s="312"/>
      <c r="E74" s="310"/>
      <c r="F74" s="312">
        <f>SUM(G74:L74)</f>
        <v>0</v>
      </c>
      <c r="G74" s="312"/>
      <c r="H74" s="312"/>
      <c r="I74" s="312"/>
      <c r="J74" s="310"/>
      <c r="K74" s="312">
        <v>0</v>
      </c>
      <c r="L74" s="312"/>
      <c r="M74" s="312"/>
      <c r="N74" s="310"/>
      <c r="O74" s="312"/>
      <c r="P74" s="310"/>
      <c r="Q74" s="310"/>
      <c r="R74" s="312"/>
      <c r="S74" s="312"/>
      <c r="T74" s="312"/>
      <c r="U74" s="310"/>
      <c r="V74" s="310"/>
      <c r="W74" s="312"/>
      <c r="X74" s="312"/>
      <c r="Y74" s="312"/>
      <c r="Z74" s="312">
        <f>B74+F74+N74+U74+V74</f>
        <v>0</v>
      </c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</row>
    <row r="75" spans="1:38" s="344" customFormat="1" ht="57.75" customHeight="1" hidden="1">
      <c r="A75" s="233" t="s">
        <v>496</v>
      </c>
      <c r="B75" s="310"/>
      <c r="C75" s="312"/>
      <c r="D75" s="312"/>
      <c r="E75" s="310"/>
      <c r="F75" s="312">
        <f>K75+L75</f>
        <v>0</v>
      </c>
      <c r="G75" s="312"/>
      <c r="H75" s="312"/>
      <c r="I75" s="312"/>
      <c r="J75" s="310"/>
      <c r="K75" s="312">
        <v>0</v>
      </c>
      <c r="L75" s="312"/>
      <c r="M75" s="312"/>
      <c r="N75" s="310"/>
      <c r="O75" s="312"/>
      <c r="P75" s="310"/>
      <c r="Q75" s="310"/>
      <c r="R75" s="312"/>
      <c r="S75" s="312"/>
      <c r="T75" s="312"/>
      <c r="U75" s="310"/>
      <c r="V75" s="310"/>
      <c r="W75" s="312"/>
      <c r="X75" s="312"/>
      <c r="Y75" s="312"/>
      <c r="Z75" s="312">
        <f>F75</f>
        <v>0</v>
      </c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</row>
    <row r="76" spans="1:38" s="344" customFormat="1" ht="18.75" customHeight="1" hidden="1">
      <c r="A76" s="233" t="s">
        <v>106</v>
      </c>
      <c r="B76" s="310"/>
      <c r="C76" s="312"/>
      <c r="D76" s="312"/>
      <c r="E76" s="310"/>
      <c r="F76" s="312">
        <f>SUM(G76:L76)</f>
        <v>0</v>
      </c>
      <c r="G76" s="312"/>
      <c r="H76" s="312"/>
      <c r="I76" s="312"/>
      <c r="J76" s="310"/>
      <c r="K76" s="312">
        <v>0</v>
      </c>
      <c r="L76" s="312"/>
      <c r="M76" s="312"/>
      <c r="N76" s="310"/>
      <c r="O76" s="312"/>
      <c r="P76" s="310"/>
      <c r="Q76" s="310"/>
      <c r="R76" s="312"/>
      <c r="S76" s="312"/>
      <c r="T76" s="312"/>
      <c r="U76" s="310"/>
      <c r="V76" s="310">
        <f>SUM(W76)</f>
        <v>0</v>
      </c>
      <c r="W76" s="312"/>
      <c r="X76" s="312"/>
      <c r="Y76" s="312"/>
      <c r="Z76" s="312">
        <f>B76+F76+N76+U76+V76</f>
        <v>0</v>
      </c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</row>
    <row r="77" spans="1:38" s="344" customFormat="1" ht="29.25" customHeight="1">
      <c r="A77" s="698" t="s">
        <v>333</v>
      </c>
      <c r="B77" s="310"/>
      <c r="C77" s="312"/>
      <c r="D77" s="312"/>
      <c r="E77" s="310"/>
      <c r="F77" s="592">
        <f>SUM(G77:L77)</f>
        <v>106</v>
      </c>
      <c r="G77" s="592"/>
      <c r="H77" s="592"/>
      <c r="I77" s="592"/>
      <c r="J77" s="593"/>
      <c r="K77" s="592">
        <v>106</v>
      </c>
      <c r="L77" s="592"/>
      <c r="M77" s="592"/>
      <c r="N77" s="733">
        <f>SUM(O77:P77)</f>
        <v>0</v>
      </c>
      <c r="O77" s="312"/>
      <c r="P77" s="733"/>
      <c r="Q77" s="310"/>
      <c r="R77" s="312"/>
      <c r="S77" s="312"/>
      <c r="T77" s="312"/>
      <c r="U77" s="310"/>
      <c r="V77" s="593">
        <f>Y77</f>
        <v>0</v>
      </c>
      <c r="W77" s="312"/>
      <c r="X77" s="312"/>
      <c r="Y77" s="592"/>
      <c r="Z77" s="737">
        <f>K77+V77+N77</f>
        <v>106</v>
      </c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</row>
    <row r="78" spans="1:38" s="344" customFormat="1" ht="29.25" customHeight="1">
      <c r="A78" s="233" t="s">
        <v>501</v>
      </c>
      <c r="B78" s="310"/>
      <c r="C78" s="312"/>
      <c r="D78" s="312"/>
      <c r="E78" s="310"/>
      <c r="F78" s="592">
        <f>K78+L78</f>
        <v>9.063</v>
      </c>
      <c r="G78" s="592"/>
      <c r="H78" s="592"/>
      <c r="I78" s="592"/>
      <c r="J78" s="593"/>
      <c r="K78" s="592"/>
      <c r="L78" s="592">
        <v>9.063</v>
      </c>
      <c r="M78" s="312"/>
      <c r="N78" s="733"/>
      <c r="O78" s="312"/>
      <c r="P78" s="310"/>
      <c r="Q78" s="310"/>
      <c r="R78" s="312"/>
      <c r="S78" s="312"/>
      <c r="T78" s="312"/>
      <c r="U78" s="310"/>
      <c r="V78" s="310"/>
      <c r="W78" s="312"/>
      <c r="X78" s="312"/>
      <c r="Y78" s="592"/>
      <c r="Z78" s="592">
        <f>F78</f>
        <v>9.063</v>
      </c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</row>
    <row r="79" spans="1:38" s="344" customFormat="1" ht="57" customHeight="1">
      <c r="A79" s="698" t="s">
        <v>1198</v>
      </c>
      <c r="B79" s="310"/>
      <c r="C79" s="312"/>
      <c r="D79" s="312"/>
      <c r="E79" s="310"/>
      <c r="F79" s="592"/>
      <c r="G79" s="592"/>
      <c r="H79" s="592"/>
      <c r="I79" s="592"/>
      <c r="J79" s="593"/>
      <c r="K79" s="592"/>
      <c r="L79" s="592"/>
      <c r="M79" s="312"/>
      <c r="N79" s="733"/>
      <c r="O79" s="312"/>
      <c r="P79" s="310"/>
      <c r="Q79" s="310"/>
      <c r="R79" s="312"/>
      <c r="S79" s="312"/>
      <c r="T79" s="312"/>
      <c r="U79" s="310"/>
      <c r="V79" s="310">
        <f>W79</f>
        <v>400</v>
      </c>
      <c r="W79" s="312">
        <v>400</v>
      </c>
      <c r="X79" s="312"/>
      <c r="Y79" s="592"/>
      <c r="Z79" s="592">
        <f>V79</f>
        <v>400</v>
      </c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</row>
    <row r="80" spans="1:38" s="1" customFormat="1" ht="43.5" customHeight="1">
      <c r="A80" s="698" t="s">
        <v>1197</v>
      </c>
      <c r="B80" s="310"/>
      <c r="C80" s="310"/>
      <c r="D80" s="310"/>
      <c r="E80" s="310">
        <f>H80</f>
        <v>0</v>
      </c>
      <c r="F80" s="1076">
        <f>L80</f>
        <v>23.18</v>
      </c>
      <c r="G80" s="593"/>
      <c r="H80" s="593">
        <f>H73</f>
        <v>0</v>
      </c>
      <c r="I80" s="593"/>
      <c r="J80" s="593"/>
      <c r="K80" s="525"/>
      <c r="L80" s="593">
        <v>23.18</v>
      </c>
      <c r="M80" s="310"/>
      <c r="N80" s="733">
        <f aca="true" t="shared" si="13" ref="N80:Y80">SUM(N73:N76)</f>
        <v>0</v>
      </c>
      <c r="O80" s="310">
        <f t="shared" si="13"/>
        <v>0</v>
      </c>
      <c r="P80" s="310">
        <f t="shared" si="13"/>
        <v>0</v>
      </c>
      <c r="Q80" s="310">
        <f t="shared" si="13"/>
        <v>0</v>
      </c>
      <c r="R80" s="310">
        <f t="shared" si="13"/>
        <v>0</v>
      </c>
      <c r="S80" s="310"/>
      <c r="T80" s="310"/>
      <c r="U80" s="310">
        <f t="shared" si="13"/>
        <v>0</v>
      </c>
      <c r="V80" s="310"/>
      <c r="W80" s="310"/>
      <c r="X80" s="310"/>
      <c r="Y80" s="593">
        <f t="shared" si="13"/>
        <v>0</v>
      </c>
      <c r="Z80" s="592">
        <f>F80</f>
        <v>23.18</v>
      </c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</row>
    <row r="81" spans="1:38" s="1" customFormat="1" ht="15.75">
      <c r="A81" s="828" t="s">
        <v>920</v>
      </c>
      <c r="B81" s="310"/>
      <c r="C81" s="310"/>
      <c r="D81" s="310"/>
      <c r="E81" s="310"/>
      <c r="F81" s="593">
        <f aca="true" t="shared" si="14" ref="F81:K81">SUM(F73:F80)</f>
        <v>138.243</v>
      </c>
      <c r="G81" s="593">
        <f t="shared" si="14"/>
        <v>0</v>
      </c>
      <c r="H81" s="593">
        <f t="shared" si="14"/>
        <v>0</v>
      </c>
      <c r="I81" s="593">
        <f t="shared" si="14"/>
        <v>0</v>
      </c>
      <c r="J81" s="593">
        <f t="shared" si="14"/>
        <v>0</v>
      </c>
      <c r="K81" s="593">
        <f t="shared" si="14"/>
        <v>106</v>
      </c>
      <c r="L81" s="593">
        <f>SUM(L73:L80)</f>
        <v>32.243</v>
      </c>
      <c r="M81" s="310"/>
      <c r="N81" s="733">
        <f aca="true" t="shared" si="15" ref="N81:T81">SUM(N73:N80)</f>
        <v>0</v>
      </c>
      <c r="O81" s="310">
        <f t="shared" si="15"/>
        <v>0</v>
      </c>
      <c r="P81" s="733"/>
      <c r="Q81" s="310">
        <f t="shared" si="15"/>
        <v>0</v>
      </c>
      <c r="R81" s="310">
        <f t="shared" si="15"/>
        <v>0</v>
      </c>
      <c r="S81" s="310">
        <f t="shared" si="15"/>
        <v>0</v>
      </c>
      <c r="T81" s="310">
        <f t="shared" si="15"/>
        <v>0</v>
      </c>
      <c r="U81" s="310"/>
      <c r="V81" s="310">
        <f>V79</f>
        <v>400</v>
      </c>
      <c r="W81" s="310">
        <f>W79</f>
        <v>400</v>
      </c>
      <c r="X81" s="310"/>
      <c r="Y81" s="593">
        <f>Y77</f>
        <v>0</v>
      </c>
      <c r="Z81" s="733">
        <f>SUM(Z72:Z80)</f>
        <v>538.2429999999999</v>
      </c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</row>
    <row r="82" spans="1:38" s="1" customFormat="1" ht="15.75">
      <c r="A82" s="828" t="s">
        <v>941</v>
      </c>
      <c r="B82" s="310"/>
      <c r="C82" s="310"/>
      <c r="D82" s="310"/>
      <c r="E82" s="310"/>
      <c r="F82" s="593"/>
      <c r="G82" s="593"/>
      <c r="H82" s="593"/>
      <c r="I82" s="593"/>
      <c r="J82" s="593"/>
      <c r="K82" s="593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593"/>
      <c r="Z82" s="593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</row>
    <row r="83" spans="1:38" s="1" customFormat="1" ht="94.5" customHeight="1">
      <c r="A83" s="332" t="s">
        <v>942</v>
      </c>
      <c r="B83" s="310"/>
      <c r="C83" s="310"/>
      <c r="D83" s="310"/>
      <c r="E83" s="310"/>
      <c r="F83" s="593"/>
      <c r="G83" s="593"/>
      <c r="H83" s="593"/>
      <c r="I83" s="593"/>
      <c r="J83" s="593"/>
      <c r="K83" s="593"/>
      <c r="L83" s="310"/>
      <c r="M83" s="310"/>
      <c r="N83" s="310">
        <f>O83</f>
        <v>0</v>
      </c>
      <c r="O83" s="310">
        <v>0</v>
      </c>
      <c r="P83" s="310"/>
      <c r="Q83" s="310"/>
      <c r="R83" s="310"/>
      <c r="S83" s="310"/>
      <c r="T83" s="310"/>
      <c r="U83" s="310"/>
      <c r="V83" s="310">
        <f>Y83</f>
        <v>23200.3</v>
      </c>
      <c r="W83" s="310"/>
      <c r="X83" s="310"/>
      <c r="Y83" s="310">
        <v>23200.3</v>
      </c>
      <c r="Z83" s="593">
        <f>N83+V83</f>
        <v>23200.3</v>
      </c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</row>
    <row r="84" spans="1:38" s="1" customFormat="1" ht="15.75">
      <c r="A84" s="828" t="s">
        <v>943</v>
      </c>
      <c r="B84" s="310"/>
      <c r="C84" s="310"/>
      <c r="D84" s="310"/>
      <c r="E84" s="310"/>
      <c r="F84" s="593"/>
      <c r="G84" s="593"/>
      <c r="H84" s="593"/>
      <c r="I84" s="593"/>
      <c r="J84" s="593"/>
      <c r="K84" s="593"/>
      <c r="L84" s="310"/>
      <c r="M84" s="310"/>
      <c r="N84" s="310">
        <f>N83</f>
        <v>0</v>
      </c>
      <c r="O84" s="310">
        <f>O83</f>
        <v>0</v>
      </c>
      <c r="P84" s="310"/>
      <c r="Q84" s="310"/>
      <c r="R84" s="310"/>
      <c r="S84" s="310"/>
      <c r="T84" s="310"/>
      <c r="U84" s="310"/>
      <c r="V84" s="310">
        <f>Y84</f>
        <v>23200.3</v>
      </c>
      <c r="W84" s="310"/>
      <c r="X84" s="310"/>
      <c r="Y84" s="310">
        <f>Y83</f>
        <v>23200.3</v>
      </c>
      <c r="Z84" s="593">
        <f>N84+V84</f>
        <v>23200.3</v>
      </c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</row>
    <row r="85" spans="1:38" s="47" customFormat="1" ht="17.25" customHeight="1">
      <c r="A85" s="346" t="s">
        <v>463</v>
      </c>
      <c r="B85" s="395"/>
      <c r="C85" s="524"/>
      <c r="D85" s="524"/>
      <c r="E85" s="395"/>
      <c r="F85" s="594">
        <f>F81+F71</f>
        <v>138.243</v>
      </c>
      <c r="G85" s="595"/>
      <c r="H85" s="595"/>
      <c r="I85" s="595"/>
      <c r="J85" s="594"/>
      <c r="K85" s="594">
        <f>K81+K71</f>
        <v>106</v>
      </c>
      <c r="L85" s="595">
        <f>L81</f>
        <v>32.243</v>
      </c>
      <c r="M85" s="524"/>
      <c r="N85" s="734">
        <f>N84+N81</f>
        <v>0</v>
      </c>
      <c r="O85" s="734">
        <f>O84+O81</f>
        <v>0</v>
      </c>
      <c r="P85" s="735">
        <f>P84+P81</f>
        <v>0</v>
      </c>
      <c r="Q85" s="395"/>
      <c r="R85" s="524"/>
      <c r="S85" s="524"/>
      <c r="T85" s="524"/>
      <c r="U85" s="395"/>
      <c r="V85" s="395">
        <f>Y85+W85</f>
        <v>23600.3</v>
      </c>
      <c r="W85" s="524">
        <f>W81</f>
        <v>400</v>
      </c>
      <c r="X85" s="524"/>
      <c r="Y85" s="524">
        <f>Y84</f>
        <v>23200.3</v>
      </c>
      <c r="Z85" s="594">
        <f>F85+V85+N85</f>
        <v>23738.542999999998</v>
      </c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</row>
    <row r="86" spans="1:38" s="47" customFormat="1" ht="17.25" customHeight="1" hidden="1">
      <c r="A86" s="332" t="s">
        <v>564</v>
      </c>
      <c r="B86" s="310"/>
      <c r="C86" s="312"/>
      <c r="D86" s="312"/>
      <c r="E86" s="310"/>
      <c r="F86" s="593"/>
      <c r="G86" s="592"/>
      <c r="H86" s="592"/>
      <c r="I86" s="592"/>
      <c r="J86" s="593"/>
      <c r="K86" s="593"/>
      <c r="L86" s="592"/>
      <c r="M86" s="592"/>
      <c r="N86" s="312"/>
      <c r="O86" s="312"/>
      <c r="P86" s="310"/>
      <c r="Q86" s="310"/>
      <c r="R86" s="312"/>
      <c r="S86" s="312"/>
      <c r="T86" s="312"/>
      <c r="U86" s="310"/>
      <c r="V86" s="310"/>
      <c r="W86" s="312"/>
      <c r="X86" s="312"/>
      <c r="Y86" s="592"/>
      <c r="Z86" s="593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</row>
    <row r="87" ht="15.75" hidden="1"/>
    <row r="88" ht="15.75" hidden="1"/>
    <row r="89" spans="1:38" s="47" customFormat="1" ht="15.75" customHeight="1">
      <c r="A89" s="332" t="s">
        <v>460</v>
      </c>
      <c r="B89" s="312">
        <f>SUM(C89:D89)</f>
        <v>0</v>
      </c>
      <c r="C89" s="312"/>
      <c r="D89" s="312"/>
      <c r="E89" s="312"/>
      <c r="F89" s="592">
        <f>K89+G89+H89+I89+J89+L89</f>
        <v>0</v>
      </c>
      <c r="G89" s="592"/>
      <c r="H89" s="592"/>
      <c r="I89" s="592">
        <v>0</v>
      </c>
      <c r="J89" s="592"/>
      <c r="K89" s="592"/>
      <c r="L89" s="592"/>
      <c r="M89" s="592"/>
      <c r="N89" s="312">
        <f>SUM(P89)</f>
        <v>0</v>
      </c>
      <c r="O89" s="312"/>
      <c r="P89" s="312"/>
      <c r="Q89" s="312"/>
      <c r="R89" s="312"/>
      <c r="S89" s="312"/>
      <c r="T89" s="312"/>
      <c r="U89" s="312"/>
      <c r="V89" s="312">
        <f>SUM(W89:Y89)</f>
        <v>0</v>
      </c>
      <c r="W89" s="312"/>
      <c r="X89" s="312"/>
      <c r="Y89" s="592"/>
      <c r="Z89" s="592">
        <f>B89+F89+N89+U89+V89</f>
        <v>0</v>
      </c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</row>
    <row r="90" spans="1:38" s="47" customFormat="1" ht="21.75" customHeight="1">
      <c r="A90" s="327" t="s">
        <v>571</v>
      </c>
      <c r="B90" s="312">
        <f>SUM(B89)</f>
        <v>0</v>
      </c>
      <c r="C90" s="312">
        <f aca="true" t="shared" si="16" ref="C90:Y90">SUM(C89)</f>
        <v>0</v>
      </c>
      <c r="D90" s="312">
        <f t="shared" si="16"/>
        <v>0</v>
      </c>
      <c r="E90" s="312">
        <f t="shared" si="16"/>
        <v>0</v>
      </c>
      <c r="F90" s="592">
        <f>K90</f>
        <v>47.757</v>
      </c>
      <c r="G90" s="592">
        <f t="shared" si="16"/>
        <v>0</v>
      </c>
      <c r="H90" s="592">
        <f t="shared" si="16"/>
        <v>0</v>
      </c>
      <c r="I90" s="592">
        <f t="shared" si="16"/>
        <v>0</v>
      </c>
      <c r="J90" s="592">
        <f t="shared" si="16"/>
        <v>0</v>
      </c>
      <c r="K90" s="592">
        <v>47.757</v>
      </c>
      <c r="L90" s="312">
        <v>0</v>
      </c>
      <c r="M90" s="312"/>
      <c r="N90" s="712"/>
      <c r="O90" s="712"/>
      <c r="P90" s="712"/>
      <c r="Q90" s="312">
        <f t="shared" si="16"/>
        <v>0</v>
      </c>
      <c r="R90" s="312">
        <f t="shared" si="16"/>
        <v>0</v>
      </c>
      <c r="S90" s="312"/>
      <c r="T90" s="312"/>
      <c r="U90" s="312">
        <f t="shared" si="16"/>
        <v>0</v>
      </c>
      <c r="V90" s="312">
        <f t="shared" si="16"/>
        <v>0</v>
      </c>
      <c r="W90" s="312">
        <f t="shared" si="16"/>
        <v>0</v>
      </c>
      <c r="X90" s="312"/>
      <c r="Y90" s="312">
        <f t="shared" si="16"/>
        <v>0</v>
      </c>
      <c r="Z90" s="592">
        <f>F90</f>
        <v>47.757</v>
      </c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</row>
    <row r="91" spans="1:38" s="47" customFormat="1" ht="21" customHeight="1">
      <c r="A91" s="323" t="s">
        <v>461</v>
      </c>
      <c r="B91" s="310"/>
      <c r="C91" s="310"/>
      <c r="D91" s="310"/>
      <c r="E91" s="310"/>
      <c r="F91" s="593">
        <f>F90</f>
        <v>47.757</v>
      </c>
      <c r="G91" s="593"/>
      <c r="H91" s="593"/>
      <c r="I91" s="593"/>
      <c r="J91" s="593"/>
      <c r="K91" s="593">
        <f>K90</f>
        <v>47.757</v>
      </c>
      <c r="L91" s="310"/>
      <c r="M91" s="310"/>
      <c r="N91" s="712"/>
      <c r="O91" s="712"/>
      <c r="P91" s="712"/>
      <c r="Q91" s="310"/>
      <c r="R91" s="310"/>
      <c r="S91" s="310"/>
      <c r="T91" s="310"/>
      <c r="U91" s="310"/>
      <c r="V91" s="310"/>
      <c r="W91" s="310"/>
      <c r="X91" s="310"/>
      <c r="Y91" s="310"/>
      <c r="Z91" s="593">
        <f>F91</f>
        <v>47.757</v>
      </c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</row>
    <row r="92" spans="1:38" s="47" customFormat="1" ht="17.25" customHeight="1">
      <c r="A92" s="323" t="s">
        <v>570</v>
      </c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</row>
    <row r="93" spans="1:38" s="47" customFormat="1" ht="19.5" customHeight="1">
      <c r="A93" s="332" t="s">
        <v>71</v>
      </c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2">
        <f>P93</f>
        <v>858</v>
      </c>
      <c r="O93" s="312">
        <f>SUM(O89)</f>
        <v>0</v>
      </c>
      <c r="P93" s="312">
        <v>858</v>
      </c>
      <c r="Q93" s="310"/>
      <c r="R93" s="310"/>
      <c r="S93" s="310"/>
      <c r="T93" s="310"/>
      <c r="U93" s="310"/>
      <c r="V93" s="310"/>
      <c r="W93" s="310"/>
      <c r="X93" s="310"/>
      <c r="Y93" s="310"/>
      <c r="Z93" s="310">
        <f>N93</f>
        <v>858</v>
      </c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</row>
    <row r="94" spans="1:38" s="47" customFormat="1" ht="21" customHeight="1">
      <c r="A94" s="323" t="s">
        <v>572</v>
      </c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>
        <f>N93</f>
        <v>858</v>
      </c>
      <c r="O94" s="310"/>
      <c r="P94" s="310">
        <f>P93</f>
        <v>858</v>
      </c>
      <c r="Q94" s="310"/>
      <c r="R94" s="310"/>
      <c r="S94" s="310"/>
      <c r="T94" s="310"/>
      <c r="U94" s="310"/>
      <c r="V94" s="310"/>
      <c r="W94" s="310"/>
      <c r="X94" s="310"/>
      <c r="Y94" s="310"/>
      <c r="Z94" s="310">
        <f>N94</f>
        <v>858</v>
      </c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</row>
    <row r="95" spans="1:38" s="47" customFormat="1" ht="17.25" customHeight="1">
      <c r="A95" s="332" t="s">
        <v>722</v>
      </c>
      <c r="B95" s="310"/>
      <c r="C95" s="310"/>
      <c r="D95" s="310"/>
      <c r="E95" s="310"/>
      <c r="F95" s="310">
        <f>K95</f>
        <v>0</v>
      </c>
      <c r="G95" s="310"/>
      <c r="H95" s="310"/>
      <c r="I95" s="310"/>
      <c r="J95" s="310"/>
      <c r="K95" s="310"/>
      <c r="L95" s="310"/>
      <c r="M95" s="310"/>
      <c r="N95" s="310">
        <f>P95</f>
        <v>0</v>
      </c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>
        <f>B95+F95+N95+U95+V95</f>
        <v>0</v>
      </c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</row>
    <row r="96" spans="1:38" s="47" customFormat="1" ht="27" customHeight="1">
      <c r="A96" s="332" t="s">
        <v>494</v>
      </c>
      <c r="B96" s="312"/>
      <c r="C96" s="312"/>
      <c r="D96" s="312"/>
      <c r="E96" s="312"/>
      <c r="F96" s="312">
        <f>L96+K96</f>
        <v>0</v>
      </c>
      <c r="G96" s="312"/>
      <c r="H96" s="312"/>
      <c r="I96" s="312"/>
      <c r="J96" s="312"/>
      <c r="K96" s="312">
        <v>0</v>
      </c>
      <c r="L96" s="312"/>
      <c r="M96" s="312"/>
      <c r="N96" s="312">
        <f>P96</f>
        <v>0</v>
      </c>
      <c r="O96" s="312"/>
      <c r="P96" s="312">
        <v>0</v>
      </c>
      <c r="Q96" s="312"/>
      <c r="R96" s="312"/>
      <c r="S96" s="312"/>
      <c r="T96" s="312"/>
      <c r="U96" s="312"/>
      <c r="V96" s="312">
        <f>SUM(W96:Y96)</f>
        <v>0</v>
      </c>
      <c r="W96" s="312"/>
      <c r="X96" s="312"/>
      <c r="Y96" s="312"/>
      <c r="Z96" s="312">
        <f>B96+F96+N96+U96+V96</f>
        <v>0</v>
      </c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</row>
    <row r="97" spans="1:38" s="400" customFormat="1" ht="18" customHeight="1">
      <c r="A97" s="323" t="s">
        <v>723</v>
      </c>
      <c r="B97" s="310"/>
      <c r="C97" s="310"/>
      <c r="D97" s="310"/>
      <c r="E97" s="310"/>
      <c r="F97" s="310">
        <f>F96</f>
        <v>0</v>
      </c>
      <c r="G97" s="310"/>
      <c r="H97" s="310"/>
      <c r="I97" s="310"/>
      <c r="J97" s="310"/>
      <c r="K97" s="310">
        <f>K96</f>
        <v>0</v>
      </c>
      <c r="L97" s="310">
        <f>L96</f>
        <v>0</v>
      </c>
      <c r="M97" s="310"/>
      <c r="N97" s="310">
        <f>N96</f>
        <v>0</v>
      </c>
      <c r="O97" s="310"/>
      <c r="P97" s="310">
        <f>P96</f>
        <v>0</v>
      </c>
      <c r="Q97" s="310"/>
      <c r="R97" s="310"/>
      <c r="S97" s="310"/>
      <c r="T97" s="310"/>
      <c r="U97" s="310"/>
      <c r="V97" s="310">
        <f>V96</f>
        <v>0</v>
      </c>
      <c r="W97" s="310">
        <f>W96</f>
        <v>0</v>
      </c>
      <c r="X97" s="310">
        <f>X96</f>
        <v>0</v>
      </c>
      <c r="Y97" s="310">
        <f>Y96</f>
        <v>0</v>
      </c>
      <c r="Z97" s="310">
        <f>F97+V97</f>
        <v>0</v>
      </c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1:38" s="1" customFormat="1" ht="18" customHeight="1">
      <c r="A98" s="323" t="s">
        <v>517</v>
      </c>
      <c r="B98" s="310"/>
      <c r="C98" s="310"/>
      <c r="D98" s="310"/>
      <c r="E98" s="310"/>
      <c r="F98" s="310">
        <f>L98</f>
        <v>0</v>
      </c>
      <c r="G98" s="310"/>
      <c r="H98" s="310"/>
      <c r="I98" s="310"/>
      <c r="J98" s="310"/>
      <c r="K98" s="310"/>
      <c r="L98" s="310"/>
      <c r="M98" s="310"/>
      <c r="N98" s="310">
        <f>P98</f>
        <v>0</v>
      </c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>
        <f>F98+N98</f>
        <v>0</v>
      </c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</row>
    <row r="99" spans="1:38" s="1" customFormat="1" ht="30.75">
      <c r="A99" s="332" t="s">
        <v>573</v>
      </c>
      <c r="B99" s="310"/>
      <c r="C99" s="312"/>
      <c r="D99" s="312"/>
      <c r="E99" s="310"/>
      <c r="F99" s="310">
        <f>L99</f>
        <v>22</v>
      </c>
      <c r="G99" s="312"/>
      <c r="H99" s="312"/>
      <c r="I99" s="312"/>
      <c r="J99" s="310"/>
      <c r="K99" s="312"/>
      <c r="L99" s="312">
        <v>22</v>
      </c>
      <c r="M99" s="312"/>
      <c r="N99" s="312">
        <f>P99</f>
        <v>10</v>
      </c>
      <c r="O99" s="312"/>
      <c r="P99" s="312">
        <v>10</v>
      </c>
      <c r="Q99" s="310"/>
      <c r="R99" s="312"/>
      <c r="S99" s="312"/>
      <c r="T99" s="312"/>
      <c r="U99" s="310"/>
      <c r="V99" s="310"/>
      <c r="W99" s="312"/>
      <c r="X99" s="312"/>
      <c r="Y99" s="312"/>
      <c r="Z99" s="312">
        <f>N99+F99</f>
        <v>32</v>
      </c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</row>
    <row r="100" spans="1:38" s="400" customFormat="1" ht="15.75">
      <c r="A100" s="323" t="s">
        <v>533</v>
      </c>
      <c r="B100" s="310"/>
      <c r="C100" s="310"/>
      <c r="D100" s="310"/>
      <c r="E100" s="310"/>
      <c r="F100" s="310">
        <f>F99</f>
        <v>22</v>
      </c>
      <c r="G100" s="310"/>
      <c r="H100" s="310"/>
      <c r="I100" s="310"/>
      <c r="J100" s="310"/>
      <c r="K100" s="310"/>
      <c r="L100" s="310">
        <f>L99</f>
        <v>22</v>
      </c>
      <c r="M100" s="310"/>
      <c r="N100" s="310">
        <f>N99</f>
        <v>10</v>
      </c>
      <c r="O100" s="310"/>
      <c r="P100" s="310">
        <f>P99</f>
        <v>10</v>
      </c>
      <c r="Q100" s="310"/>
      <c r="R100" s="310"/>
      <c r="S100" s="310"/>
      <c r="T100" s="310"/>
      <c r="U100" s="310"/>
      <c r="V100" s="310"/>
      <c r="W100" s="310"/>
      <c r="X100" s="310"/>
      <c r="Y100" s="310"/>
      <c r="Z100" s="310">
        <f>Z99</f>
        <v>32</v>
      </c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  <row r="101" spans="1:38" s="47" customFormat="1" ht="30" customHeight="1">
      <c r="A101" s="332" t="s">
        <v>532</v>
      </c>
      <c r="B101" s="310"/>
      <c r="C101" s="312"/>
      <c r="D101" s="312"/>
      <c r="E101" s="310"/>
      <c r="F101" s="310">
        <f>L101</f>
        <v>0</v>
      </c>
      <c r="G101" s="312"/>
      <c r="H101" s="312"/>
      <c r="I101" s="312"/>
      <c r="J101" s="310"/>
      <c r="K101" s="310"/>
      <c r="L101" s="312">
        <v>0</v>
      </c>
      <c r="M101" s="312"/>
      <c r="N101" s="312"/>
      <c r="O101" s="312"/>
      <c r="P101" s="310"/>
      <c r="Q101" s="310"/>
      <c r="R101" s="312"/>
      <c r="S101" s="312"/>
      <c r="T101" s="312"/>
      <c r="U101" s="310"/>
      <c r="V101" s="310"/>
      <c r="W101" s="312"/>
      <c r="X101" s="312"/>
      <c r="Y101" s="312"/>
      <c r="Z101" s="310">
        <f>F101</f>
        <v>0</v>
      </c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</row>
    <row r="102" spans="1:38" s="527" customFormat="1" ht="17.25" customHeight="1">
      <c r="A102" s="323" t="s">
        <v>4</v>
      </c>
      <c r="B102" s="310"/>
      <c r="C102" s="310"/>
      <c r="D102" s="310"/>
      <c r="E102" s="310"/>
      <c r="F102" s="310">
        <f>F101</f>
        <v>0</v>
      </c>
      <c r="G102" s="310"/>
      <c r="H102" s="310"/>
      <c r="I102" s="310"/>
      <c r="J102" s="310"/>
      <c r="K102" s="310"/>
      <c r="L102" s="310">
        <f>L101</f>
        <v>0</v>
      </c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310"/>
      <c r="X102" s="310"/>
      <c r="Y102" s="310"/>
      <c r="Z102" s="310">
        <f>Z101</f>
        <v>0</v>
      </c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</row>
    <row r="103" spans="1:38" s="47" customFormat="1" ht="19.5" customHeight="1">
      <c r="A103" s="323" t="s">
        <v>458</v>
      </c>
      <c r="B103" s="310"/>
      <c r="C103" s="312"/>
      <c r="D103" s="312"/>
      <c r="E103" s="310"/>
      <c r="F103" s="310">
        <f>SUM(G103:L103)</f>
        <v>0</v>
      </c>
      <c r="G103" s="312"/>
      <c r="H103" s="312"/>
      <c r="I103" s="312"/>
      <c r="J103" s="310"/>
      <c r="K103" s="312"/>
      <c r="L103" s="312">
        <v>0</v>
      </c>
      <c r="M103" s="312"/>
      <c r="N103" s="310">
        <f>SUM(O103:P103)</f>
        <v>0</v>
      </c>
      <c r="O103" s="312">
        <v>0</v>
      </c>
      <c r="P103" s="312">
        <v>0</v>
      </c>
      <c r="Q103" s="310"/>
      <c r="R103" s="312"/>
      <c r="S103" s="312"/>
      <c r="T103" s="312"/>
      <c r="U103" s="310"/>
      <c r="V103" s="310">
        <f>SUM(W103:Y103)</f>
        <v>0</v>
      </c>
      <c r="W103" s="312"/>
      <c r="X103" s="312"/>
      <c r="Y103" s="312">
        <v>0</v>
      </c>
      <c r="Z103" s="310">
        <f>B103+F103+N103+U103+V103</f>
        <v>0</v>
      </c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</row>
    <row r="104" spans="1:38" s="1" customFormat="1" ht="59.25" customHeight="1">
      <c r="A104" s="327" t="s">
        <v>934</v>
      </c>
      <c r="B104" s="310"/>
      <c r="C104" s="310"/>
      <c r="D104" s="310"/>
      <c r="E104" s="310"/>
      <c r="F104" s="310">
        <f>L104</f>
        <v>0</v>
      </c>
      <c r="G104" s="310"/>
      <c r="H104" s="310"/>
      <c r="I104" s="310"/>
      <c r="J104" s="310"/>
      <c r="K104" s="310"/>
      <c r="L104" s="310"/>
      <c r="M104" s="310"/>
      <c r="N104" s="310">
        <f>P104</f>
        <v>0</v>
      </c>
      <c r="O104" s="310"/>
      <c r="P104" s="310">
        <v>0</v>
      </c>
      <c r="Q104" s="310"/>
      <c r="R104" s="310"/>
      <c r="S104" s="310"/>
      <c r="T104" s="310"/>
      <c r="U104" s="310"/>
      <c r="V104" s="310">
        <f>W104</f>
        <v>0</v>
      </c>
      <c r="W104" s="310">
        <v>0</v>
      </c>
      <c r="X104" s="310"/>
      <c r="Y104" s="310"/>
      <c r="Z104" s="310">
        <f>V104+N104</f>
        <v>0</v>
      </c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</row>
    <row r="105" spans="1:26" ht="20.25" customHeight="1">
      <c r="A105" s="332" t="s">
        <v>497</v>
      </c>
      <c r="B105" s="528"/>
      <c r="C105" s="361"/>
      <c r="D105" s="361"/>
      <c r="E105" s="361"/>
      <c r="F105" s="713">
        <f>L105</f>
        <v>0</v>
      </c>
      <c r="G105" s="714"/>
      <c r="H105" s="714"/>
      <c r="I105" s="714"/>
      <c r="J105" s="714"/>
      <c r="K105" s="714"/>
      <c r="L105" s="714"/>
      <c r="M105" s="714"/>
      <c r="N105" s="714"/>
      <c r="O105" s="714"/>
      <c r="P105" s="714"/>
      <c r="Q105" s="714"/>
      <c r="R105" s="714"/>
      <c r="S105" s="714"/>
      <c r="T105" s="714"/>
      <c r="U105" s="714"/>
      <c r="V105" s="715"/>
      <c r="W105" s="714"/>
      <c r="X105" s="714"/>
      <c r="Y105" s="714"/>
      <c r="Z105" s="715">
        <f>F105</f>
        <v>0</v>
      </c>
    </row>
    <row r="106" spans="1:38" s="47" customFormat="1" ht="45.75" customHeight="1">
      <c r="A106" s="329" t="s">
        <v>503</v>
      </c>
      <c r="B106" s="310"/>
      <c r="C106" s="312"/>
      <c r="D106" s="312"/>
      <c r="E106" s="310"/>
      <c r="F106" s="312">
        <f>SUM(G106:L106)</f>
        <v>0</v>
      </c>
      <c r="G106" s="312"/>
      <c r="H106" s="312"/>
      <c r="I106" s="312"/>
      <c r="J106" s="310"/>
      <c r="K106" s="312"/>
      <c r="L106" s="312">
        <v>0</v>
      </c>
      <c r="M106" s="312"/>
      <c r="N106" s="310">
        <f>SUM(O106:P106)</f>
        <v>0</v>
      </c>
      <c r="O106" s="312">
        <v>0</v>
      </c>
      <c r="P106" s="312">
        <v>0</v>
      </c>
      <c r="Q106" s="310"/>
      <c r="R106" s="312"/>
      <c r="S106" s="312"/>
      <c r="T106" s="312"/>
      <c r="U106" s="310"/>
      <c r="V106" s="310">
        <f>SUM(W106:Y106)</f>
        <v>10</v>
      </c>
      <c r="W106" s="312"/>
      <c r="X106" s="312"/>
      <c r="Y106" s="312">
        <v>10</v>
      </c>
      <c r="Z106" s="310">
        <f>B106+F106+N106+U106+V106</f>
        <v>10</v>
      </c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</row>
    <row r="107" spans="1:38" s="1" customFormat="1" ht="21" customHeight="1">
      <c r="A107" s="323" t="s">
        <v>459</v>
      </c>
      <c r="B107" s="310">
        <f>SUM(B106)</f>
        <v>0</v>
      </c>
      <c r="C107" s="310">
        <f>SUM(C106)</f>
        <v>0</v>
      </c>
      <c r="D107" s="310">
        <f>SUM(D106)</f>
        <v>0</v>
      </c>
      <c r="E107" s="310">
        <f>SUM(E106)</f>
        <v>0</v>
      </c>
      <c r="F107" s="310">
        <f>SUM(F103:F106)</f>
        <v>0</v>
      </c>
      <c r="G107" s="310">
        <f aca="true" t="shared" si="17" ref="G107:Z107">SUM(G103:G106)</f>
        <v>0</v>
      </c>
      <c r="H107" s="310">
        <f t="shared" si="17"/>
        <v>0</v>
      </c>
      <c r="I107" s="310">
        <f t="shared" si="17"/>
        <v>0</v>
      </c>
      <c r="J107" s="310">
        <f t="shared" si="17"/>
        <v>0</v>
      </c>
      <c r="K107" s="310">
        <f t="shared" si="17"/>
        <v>0</v>
      </c>
      <c r="L107" s="310">
        <f t="shared" si="17"/>
        <v>0</v>
      </c>
      <c r="M107" s="310"/>
      <c r="N107" s="310">
        <f>N104</f>
        <v>0</v>
      </c>
      <c r="O107" s="310">
        <f t="shared" si="17"/>
        <v>0</v>
      </c>
      <c r="P107" s="310">
        <f t="shared" si="17"/>
        <v>0</v>
      </c>
      <c r="Q107" s="310">
        <f t="shared" si="17"/>
        <v>0</v>
      </c>
      <c r="R107" s="310">
        <f>SUM(R103:R106)</f>
        <v>0</v>
      </c>
      <c r="S107" s="310">
        <f t="shared" si="17"/>
        <v>0</v>
      </c>
      <c r="T107" s="310"/>
      <c r="U107" s="310">
        <f t="shared" si="17"/>
        <v>0</v>
      </c>
      <c r="V107" s="310">
        <f t="shared" si="17"/>
        <v>10</v>
      </c>
      <c r="W107" s="310">
        <f t="shared" si="17"/>
        <v>0</v>
      </c>
      <c r="X107" s="310">
        <f t="shared" si="17"/>
        <v>0</v>
      </c>
      <c r="Y107" s="310">
        <f t="shared" si="17"/>
        <v>10</v>
      </c>
      <c r="Z107" s="310">
        <f t="shared" si="17"/>
        <v>10</v>
      </c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</row>
    <row r="108" spans="5:26" ht="15.75" hidden="1">
      <c r="E108" s="710"/>
      <c r="F108" s="711"/>
      <c r="G108" s="710"/>
      <c r="H108" s="710"/>
      <c r="I108" s="710"/>
      <c r="J108" s="710"/>
      <c r="K108" s="710"/>
      <c r="L108" s="710"/>
      <c r="M108" s="710"/>
      <c r="N108" s="710"/>
      <c r="O108" s="710"/>
      <c r="P108" s="710"/>
      <c r="Q108" s="710"/>
      <c r="R108" s="710"/>
      <c r="S108" s="710"/>
      <c r="T108" s="710"/>
      <c r="U108" s="710"/>
      <c r="V108" s="711"/>
      <c r="W108" s="710"/>
      <c r="X108" s="710"/>
      <c r="Y108" s="710"/>
      <c r="Z108" s="711"/>
    </row>
    <row r="109" spans="5:26" ht="15.75" hidden="1">
      <c r="E109" s="710"/>
      <c r="F109" s="711"/>
      <c r="G109" s="710"/>
      <c r="H109" s="710"/>
      <c r="I109" s="710"/>
      <c r="J109" s="710"/>
      <c r="K109" s="710"/>
      <c r="L109" s="710"/>
      <c r="M109" s="710"/>
      <c r="N109" s="710"/>
      <c r="O109" s="710"/>
      <c r="P109" s="710"/>
      <c r="Q109" s="710"/>
      <c r="R109" s="710"/>
      <c r="S109" s="710"/>
      <c r="T109" s="710"/>
      <c r="U109" s="710"/>
      <c r="V109" s="711"/>
      <c r="W109" s="710"/>
      <c r="X109" s="710"/>
      <c r="Y109" s="710"/>
      <c r="Z109" s="711"/>
    </row>
    <row r="110" spans="1:38" s="532" customFormat="1" ht="20.25" customHeight="1">
      <c r="A110" s="695" t="s">
        <v>534</v>
      </c>
      <c r="B110" s="395">
        <f>B80+B71+B107+B90</f>
        <v>0</v>
      </c>
      <c r="C110" s="395">
        <f>C80+C71+C107+C90</f>
        <v>0</v>
      </c>
      <c r="D110" s="395">
        <f>D80+D71+D107+D90</f>
        <v>0</v>
      </c>
      <c r="E110" s="395">
        <f>E80+E71+E107+E90</f>
        <v>0</v>
      </c>
      <c r="F110" s="395">
        <f>F91+F97+F100+F107+F102+F94</f>
        <v>69.757</v>
      </c>
      <c r="G110" s="395">
        <f aca="true" t="shared" si="18" ref="G110:Z110">G91+G97+G100+G107+G102+G94</f>
        <v>0</v>
      </c>
      <c r="H110" s="395">
        <f t="shared" si="18"/>
        <v>0</v>
      </c>
      <c r="I110" s="395">
        <f t="shared" si="18"/>
        <v>0</v>
      </c>
      <c r="J110" s="395">
        <f t="shared" si="18"/>
        <v>0</v>
      </c>
      <c r="K110" s="395">
        <f t="shared" si="18"/>
        <v>47.757</v>
      </c>
      <c r="L110" s="395">
        <f t="shared" si="18"/>
        <v>22</v>
      </c>
      <c r="M110" s="395"/>
      <c r="N110" s="395">
        <f t="shared" si="18"/>
        <v>868</v>
      </c>
      <c r="O110" s="395">
        <f t="shared" si="18"/>
        <v>0</v>
      </c>
      <c r="P110" s="395">
        <f t="shared" si="18"/>
        <v>868</v>
      </c>
      <c r="Q110" s="395">
        <f t="shared" si="18"/>
        <v>0</v>
      </c>
      <c r="R110" s="395">
        <f t="shared" si="18"/>
        <v>0</v>
      </c>
      <c r="S110" s="395">
        <f t="shared" si="18"/>
        <v>0</v>
      </c>
      <c r="T110" s="395"/>
      <c r="U110" s="395">
        <f t="shared" si="18"/>
        <v>0</v>
      </c>
      <c r="V110" s="395">
        <f t="shared" si="18"/>
        <v>10</v>
      </c>
      <c r="W110" s="395">
        <f t="shared" si="18"/>
        <v>0</v>
      </c>
      <c r="X110" s="395">
        <f t="shared" si="18"/>
        <v>0</v>
      </c>
      <c r="Y110" s="395">
        <f t="shared" si="18"/>
        <v>10</v>
      </c>
      <c r="Z110" s="594">
        <f t="shared" si="18"/>
        <v>947.7570000000001</v>
      </c>
      <c r="AA110" s="531"/>
      <c r="AB110" s="531"/>
      <c r="AC110" s="531"/>
      <c r="AD110" s="531"/>
      <c r="AE110" s="531"/>
      <c r="AF110" s="531"/>
      <c r="AG110" s="531"/>
      <c r="AH110" s="531"/>
      <c r="AI110" s="531"/>
      <c r="AJ110" s="531"/>
      <c r="AK110" s="531"/>
      <c r="AL110" s="531"/>
    </row>
    <row r="111" spans="1:38" s="43" customFormat="1" ht="21" customHeight="1" hidden="1">
      <c r="A111" s="347" t="s">
        <v>462</v>
      </c>
      <c r="B111" s="310"/>
      <c r="C111" s="310"/>
      <c r="D111" s="310"/>
      <c r="E111" s="310"/>
      <c r="F111" s="593"/>
      <c r="G111" s="593"/>
      <c r="H111" s="593"/>
      <c r="I111" s="593"/>
      <c r="J111" s="593"/>
      <c r="K111" s="593"/>
      <c r="L111" s="593"/>
      <c r="M111" s="593"/>
      <c r="N111" s="310"/>
      <c r="O111" s="310"/>
      <c r="P111" s="310"/>
      <c r="Q111" s="310"/>
      <c r="R111" s="310"/>
      <c r="S111" s="310"/>
      <c r="T111" s="310"/>
      <c r="U111" s="310"/>
      <c r="V111" s="310"/>
      <c r="W111" s="310"/>
      <c r="X111" s="310"/>
      <c r="Y111" s="593"/>
      <c r="Z111" s="593"/>
      <c r="AA111" s="328"/>
      <c r="AB111" s="328"/>
      <c r="AC111" s="328"/>
      <c r="AD111" s="328"/>
      <c r="AE111" s="328"/>
      <c r="AF111" s="328"/>
      <c r="AG111" s="328"/>
      <c r="AH111" s="328"/>
      <c r="AI111" s="328"/>
      <c r="AJ111" s="328"/>
      <c r="AK111" s="328"/>
      <c r="AL111" s="328"/>
    </row>
    <row r="112" spans="1:38" s="43" customFormat="1" ht="21" customHeight="1" hidden="1">
      <c r="A112" s="345"/>
      <c r="B112" s="310"/>
      <c r="C112" s="310"/>
      <c r="D112" s="310"/>
      <c r="E112" s="310"/>
      <c r="F112" s="593"/>
      <c r="G112" s="593"/>
      <c r="H112" s="593"/>
      <c r="I112" s="593"/>
      <c r="J112" s="593"/>
      <c r="K112" s="593"/>
      <c r="L112" s="593"/>
      <c r="M112" s="593"/>
      <c r="N112" s="310"/>
      <c r="O112" s="310"/>
      <c r="P112" s="310"/>
      <c r="Q112" s="310"/>
      <c r="R112" s="310"/>
      <c r="S112" s="310"/>
      <c r="T112" s="310"/>
      <c r="U112" s="310"/>
      <c r="V112" s="310"/>
      <c r="W112" s="310"/>
      <c r="X112" s="310"/>
      <c r="Y112" s="593"/>
      <c r="Z112" s="593"/>
      <c r="AA112" s="328"/>
      <c r="AB112" s="328"/>
      <c r="AC112" s="328"/>
      <c r="AD112" s="328"/>
      <c r="AE112" s="328"/>
      <c r="AF112" s="328"/>
      <c r="AG112" s="328"/>
      <c r="AH112" s="328"/>
      <c r="AI112" s="328"/>
      <c r="AJ112" s="328"/>
      <c r="AK112" s="328"/>
      <c r="AL112" s="328"/>
    </row>
    <row r="113" spans="1:38" s="43" customFormat="1" ht="21" customHeight="1" hidden="1">
      <c r="A113" s="345"/>
      <c r="B113" s="310"/>
      <c r="C113" s="310"/>
      <c r="D113" s="310"/>
      <c r="E113" s="310"/>
      <c r="F113" s="593"/>
      <c r="G113" s="593"/>
      <c r="H113" s="593"/>
      <c r="I113" s="593"/>
      <c r="J113" s="593"/>
      <c r="K113" s="593"/>
      <c r="L113" s="593"/>
      <c r="M113" s="593"/>
      <c r="N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0"/>
      <c r="Y113" s="593"/>
      <c r="Z113" s="593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328"/>
      <c r="AK113" s="328"/>
      <c r="AL113" s="328"/>
    </row>
    <row r="114" spans="1:38" s="162" customFormat="1" ht="13.5" customHeight="1">
      <c r="A114" s="278" t="s">
        <v>464</v>
      </c>
      <c r="B114" s="310"/>
      <c r="C114" s="312"/>
      <c r="D114" s="312"/>
      <c r="E114" s="312"/>
      <c r="F114" s="593"/>
      <c r="G114" s="592"/>
      <c r="H114" s="592"/>
      <c r="I114" s="592"/>
      <c r="J114" s="592"/>
      <c r="K114" s="592"/>
      <c r="L114" s="592"/>
      <c r="M114" s="592"/>
      <c r="N114" s="312"/>
      <c r="O114" s="312"/>
      <c r="P114" s="312"/>
      <c r="Q114" s="312"/>
      <c r="R114" s="312"/>
      <c r="S114" s="312"/>
      <c r="T114" s="312"/>
      <c r="U114" s="312"/>
      <c r="V114" s="312"/>
      <c r="W114" s="312"/>
      <c r="X114" s="312"/>
      <c r="Y114" s="592"/>
      <c r="Z114" s="593">
        <f aca="true" t="shared" si="19" ref="Z114:Z119">B114+F114+N114+U114+V114</f>
        <v>0</v>
      </c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</row>
    <row r="115" spans="1:38" s="162" customFormat="1" ht="21" customHeight="1">
      <c r="A115" s="394" t="s">
        <v>236</v>
      </c>
      <c r="B115" s="310">
        <f>SUM(C115:E115)</f>
        <v>1230</v>
      </c>
      <c r="C115" s="312">
        <v>915</v>
      </c>
      <c r="D115" s="312">
        <v>2</v>
      </c>
      <c r="E115" s="312">
        <v>313</v>
      </c>
      <c r="F115" s="310">
        <f>SUM(G115:L115)</f>
        <v>659.7</v>
      </c>
      <c r="G115" s="312">
        <v>12</v>
      </c>
      <c r="H115" s="312">
        <v>6</v>
      </c>
      <c r="I115" s="312">
        <v>498.7</v>
      </c>
      <c r="J115" s="312"/>
      <c r="K115" s="312">
        <v>43</v>
      </c>
      <c r="L115" s="312">
        <v>100</v>
      </c>
      <c r="M115" s="312"/>
      <c r="N115" s="312"/>
      <c r="O115" s="312"/>
      <c r="P115" s="312"/>
      <c r="Q115" s="312"/>
      <c r="R115" s="312"/>
      <c r="S115" s="312"/>
      <c r="T115" s="312"/>
      <c r="U115" s="312">
        <v>10</v>
      </c>
      <c r="V115" s="312">
        <f>SUM(W115:Y115)</f>
        <v>103</v>
      </c>
      <c r="W115" s="736">
        <v>52</v>
      </c>
      <c r="X115" s="312"/>
      <c r="Y115" s="312">
        <v>51</v>
      </c>
      <c r="Z115" s="310">
        <f t="shared" si="19"/>
        <v>2002.7</v>
      </c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</row>
    <row r="116" spans="1:38" s="244" customFormat="1" ht="22.5" customHeight="1">
      <c r="A116" s="349" t="s">
        <v>256</v>
      </c>
      <c r="B116" s="395">
        <f>SUM(B115)</f>
        <v>1230</v>
      </c>
      <c r="C116" s="395">
        <f aca="true" t="shared" si="20" ref="C116:Y116">SUM(C115)</f>
        <v>915</v>
      </c>
      <c r="D116" s="395">
        <f t="shared" si="20"/>
        <v>2</v>
      </c>
      <c r="E116" s="395">
        <f t="shared" si="20"/>
        <v>313</v>
      </c>
      <c r="F116" s="395">
        <f t="shared" si="20"/>
        <v>659.7</v>
      </c>
      <c r="G116" s="395">
        <f t="shared" si="20"/>
        <v>12</v>
      </c>
      <c r="H116" s="395">
        <f t="shared" si="20"/>
        <v>6</v>
      </c>
      <c r="I116" s="395">
        <f t="shared" si="20"/>
        <v>498.7</v>
      </c>
      <c r="J116" s="395">
        <f t="shared" si="20"/>
        <v>0</v>
      </c>
      <c r="K116" s="395">
        <f t="shared" si="20"/>
        <v>43</v>
      </c>
      <c r="L116" s="395">
        <f t="shared" si="20"/>
        <v>100</v>
      </c>
      <c r="M116" s="395"/>
      <c r="N116" s="395"/>
      <c r="O116" s="395"/>
      <c r="P116" s="395"/>
      <c r="Q116" s="395"/>
      <c r="R116" s="395">
        <f t="shared" si="20"/>
        <v>0</v>
      </c>
      <c r="S116" s="395"/>
      <c r="T116" s="395"/>
      <c r="U116" s="395">
        <f t="shared" si="20"/>
        <v>10</v>
      </c>
      <c r="V116" s="395">
        <f t="shared" si="20"/>
        <v>103</v>
      </c>
      <c r="W116" s="738">
        <f t="shared" si="20"/>
        <v>52</v>
      </c>
      <c r="X116" s="395"/>
      <c r="Y116" s="395">
        <f t="shared" si="20"/>
        <v>51</v>
      </c>
      <c r="Z116" s="395">
        <f t="shared" si="19"/>
        <v>2002.7</v>
      </c>
      <c r="AA116" s="330"/>
      <c r="AB116" s="331"/>
      <c r="AC116" s="331"/>
      <c r="AD116" s="331"/>
      <c r="AE116" s="331"/>
      <c r="AF116" s="331"/>
      <c r="AG116" s="331"/>
      <c r="AH116" s="331"/>
      <c r="AI116" s="331"/>
      <c r="AJ116" s="331"/>
      <c r="AK116" s="331"/>
      <c r="AL116" s="331"/>
    </row>
    <row r="117" spans="1:26" s="40" customFormat="1" ht="21" customHeight="1" hidden="1">
      <c r="A117" s="830"/>
      <c r="B117" s="324"/>
      <c r="C117" s="312"/>
      <c r="D117" s="312"/>
      <c r="E117" s="312"/>
      <c r="F117" s="596"/>
      <c r="G117" s="592"/>
      <c r="H117" s="592"/>
      <c r="I117" s="592"/>
      <c r="J117" s="592"/>
      <c r="K117" s="592"/>
      <c r="L117" s="592"/>
      <c r="M117" s="592"/>
      <c r="N117" s="312"/>
      <c r="O117" s="312"/>
      <c r="P117" s="324"/>
      <c r="Q117" s="324"/>
      <c r="R117" s="312"/>
      <c r="S117" s="312"/>
      <c r="T117" s="312"/>
      <c r="U117" s="310"/>
      <c r="V117" s="310"/>
      <c r="W117" s="312"/>
      <c r="X117" s="312"/>
      <c r="Y117" s="592"/>
      <c r="Z117" s="593">
        <f t="shared" si="19"/>
        <v>0</v>
      </c>
    </row>
    <row r="118" spans="1:26" s="40" customFormat="1" ht="25.5" customHeight="1" hidden="1">
      <c r="A118" s="392"/>
      <c r="B118" s="324">
        <f>SUM(C118:D118)</f>
        <v>0</v>
      </c>
      <c r="C118" s="312"/>
      <c r="D118" s="312"/>
      <c r="E118" s="312"/>
      <c r="F118" s="324">
        <f>SUM(G118:L118)</f>
        <v>0</v>
      </c>
      <c r="G118" s="312"/>
      <c r="H118" s="312"/>
      <c r="I118" s="312"/>
      <c r="J118" s="312"/>
      <c r="K118" s="312">
        <v>0</v>
      </c>
      <c r="L118" s="312"/>
      <c r="M118" s="312"/>
      <c r="N118" s="312"/>
      <c r="O118" s="312"/>
      <c r="P118" s="324"/>
      <c r="Q118" s="324"/>
      <c r="R118" s="312"/>
      <c r="S118" s="312"/>
      <c r="T118" s="312"/>
      <c r="U118" s="312"/>
      <c r="V118" s="310">
        <f>SUM(W118:Y118)</f>
        <v>0</v>
      </c>
      <c r="W118" s="736"/>
      <c r="X118" s="312"/>
      <c r="Y118" s="312"/>
      <c r="Z118" s="310">
        <f t="shared" si="19"/>
        <v>0</v>
      </c>
    </row>
    <row r="119" spans="1:26" s="41" customFormat="1" ht="23.25" customHeight="1" hidden="1">
      <c r="A119" s="823"/>
      <c r="B119" s="395">
        <f>SUM(B118)</f>
        <v>0</v>
      </c>
      <c r="C119" s="395">
        <f aca="true" t="shared" si="21" ref="C119:R119">SUM(C118)</f>
        <v>0</v>
      </c>
      <c r="D119" s="395">
        <f t="shared" si="21"/>
        <v>0</v>
      </c>
      <c r="E119" s="395">
        <f t="shared" si="21"/>
        <v>0</v>
      </c>
      <c r="F119" s="395">
        <f t="shared" si="21"/>
        <v>0</v>
      </c>
      <c r="G119" s="395">
        <f t="shared" si="21"/>
        <v>0</v>
      </c>
      <c r="H119" s="395">
        <f t="shared" si="21"/>
        <v>0</v>
      </c>
      <c r="I119" s="395">
        <f t="shared" si="21"/>
        <v>0</v>
      </c>
      <c r="J119" s="395">
        <f t="shared" si="21"/>
        <v>0</v>
      </c>
      <c r="K119" s="395">
        <f t="shared" si="21"/>
        <v>0</v>
      </c>
      <c r="L119" s="395">
        <f t="shared" si="21"/>
        <v>0</v>
      </c>
      <c r="M119" s="395"/>
      <c r="N119" s="395"/>
      <c r="O119" s="395"/>
      <c r="P119" s="395"/>
      <c r="Q119" s="395"/>
      <c r="R119" s="395">
        <f t="shared" si="21"/>
        <v>0</v>
      </c>
      <c r="S119" s="395"/>
      <c r="T119" s="395"/>
      <c r="U119" s="395">
        <f>SUM(U118:U118)</f>
        <v>0</v>
      </c>
      <c r="V119" s="395">
        <f>SUM(V118:V118)</f>
        <v>0</v>
      </c>
      <c r="W119" s="738">
        <f>SUM(W118:W118)</f>
        <v>0</v>
      </c>
      <c r="X119" s="395"/>
      <c r="Y119" s="395">
        <f>SUM(Y118:Y118)</f>
        <v>0</v>
      </c>
      <c r="Z119" s="395">
        <f t="shared" si="19"/>
        <v>0</v>
      </c>
    </row>
    <row r="120" spans="1:26" s="41" customFormat="1" ht="17.25" customHeight="1">
      <c r="A120" s="278" t="s">
        <v>466</v>
      </c>
      <c r="B120" s="310"/>
      <c r="C120" s="310"/>
      <c r="D120" s="310"/>
      <c r="E120" s="310"/>
      <c r="F120" s="593"/>
      <c r="G120" s="593"/>
      <c r="H120" s="593"/>
      <c r="I120" s="593"/>
      <c r="J120" s="593"/>
      <c r="K120" s="593"/>
      <c r="L120" s="593"/>
      <c r="M120" s="593"/>
      <c r="N120" s="310"/>
      <c r="O120" s="310"/>
      <c r="P120" s="310"/>
      <c r="Q120" s="310"/>
      <c r="R120" s="310"/>
      <c r="S120" s="310"/>
      <c r="T120" s="310"/>
      <c r="U120" s="310"/>
      <c r="V120" s="310"/>
      <c r="W120" s="310"/>
      <c r="X120" s="310"/>
      <c r="Y120" s="593"/>
      <c r="Z120" s="593"/>
    </row>
    <row r="121" spans="1:26" s="41" customFormat="1" ht="48" customHeight="1">
      <c r="A121" s="93" t="s">
        <v>574</v>
      </c>
      <c r="B121" s="310"/>
      <c r="C121" s="310"/>
      <c r="D121" s="310"/>
      <c r="E121" s="310"/>
      <c r="F121" s="593"/>
      <c r="G121" s="593"/>
      <c r="H121" s="593"/>
      <c r="I121" s="593"/>
      <c r="J121" s="593"/>
      <c r="K121" s="593"/>
      <c r="L121" s="593"/>
      <c r="M121" s="593"/>
      <c r="N121" s="310"/>
      <c r="O121" s="310"/>
      <c r="P121" s="310"/>
      <c r="Q121" s="310"/>
      <c r="R121" s="310">
        <f>T121</f>
        <v>553.8</v>
      </c>
      <c r="S121" s="312"/>
      <c r="T121" s="312">
        <v>553.8</v>
      </c>
      <c r="U121" s="310"/>
      <c r="V121" s="310"/>
      <c r="W121" s="310"/>
      <c r="X121" s="310"/>
      <c r="Y121" s="593"/>
      <c r="Z121" s="310">
        <f>R121</f>
        <v>553.8</v>
      </c>
    </row>
    <row r="122" spans="1:26" s="41" customFormat="1" ht="18" customHeight="1">
      <c r="A122" s="352" t="s">
        <v>664</v>
      </c>
      <c r="B122" s="395"/>
      <c r="C122" s="395"/>
      <c r="D122" s="395"/>
      <c r="E122" s="395"/>
      <c r="F122" s="594"/>
      <c r="G122" s="594"/>
      <c r="H122" s="594"/>
      <c r="I122" s="594"/>
      <c r="J122" s="594"/>
      <c r="K122" s="594"/>
      <c r="L122" s="594"/>
      <c r="M122" s="594"/>
      <c r="N122" s="395"/>
      <c r="O122" s="395"/>
      <c r="P122" s="395"/>
      <c r="Q122" s="395"/>
      <c r="R122" s="395">
        <f>R121</f>
        <v>553.8</v>
      </c>
      <c r="S122" s="395">
        <f>S121</f>
        <v>0</v>
      </c>
      <c r="T122" s="395">
        <f>T121</f>
        <v>553.8</v>
      </c>
      <c r="U122" s="395"/>
      <c r="V122" s="395"/>
      <c r="W122" s="395"/>
      <c r="X122" s="395"/>
      <c r="Y122" s="594"/>
      <c r="Z122" s="395">
        <f>Z121</f>
        <v>553.8</v>
      </c>
    </row>
    <row r="123" spans="1:26" s="603" customFormat="1" ht="19.5" customHeight="1">
      <c r="A123" s="601" t="s">
        <v>590</v>
      </c>
      <c r="B123" s="557"/>
      <c r="C123" s="557"/>
      <c r="D123" s="557"/>
      <c r="E123" s="557"/>
      <c r="F123" s="602"/>
      <c r="G123" s="602"/>
      <c r="H123" s="602"/>
      <c r="I123" s="602"/>
      <c r="J123" s="602"/>
      <c r="K123" s="602"/>
      <c r="L123" s="602"/>
      <c r="M123" s="602"/>
      <c r="N123" s="557"/>
      <c r="O123" s="557"/>
      <c r="P123" s="557"/>
      <c r="Q123" s="557"/>
      <c r="R123" s="557"/>
      <c r="S123" s="557"/>
      <c r="T123" s="557"/>
      <c r="U123" s="557"/>
      <c r="V123" s="557"/>
      <c r="W123" s="557"/>
      <c r="X123" s="557"/>
      <c r="Y123" s="602"/>
      <c r="Z123" s="602"/>
    </row>
    <row r="124" spans="1:26" s="603" customFormat="1" ht="20.25" customHeight="1">
      <c r="A124" s="601" t="s">
        <v>591</v>
      </c>
      <c r="B124" s="557"/>
      <c r="C124" s="557"/>
      <c r="D124" s="557"/>
      <c r="E124" s="557"/>
      <c r="F124" s="602">
        <f>L124</f>
        <v>0</v>
      </c>
      <c r="G124" s="602"/>
      <c r="H124" s="602"/>
      <c r="I124" s="602"/>
      <c r="J124" s="602"/>
      <c r="K124" s="602"/>
      <c r="L124" s="602"/>
      <c r="M124" s="602"/>
      <c r="N124" s="557"/>
      <c r="O124" s="557"/>
      <c r="P124" s="557"/>
      <c r="Q124" s="557"/>
      <c r="R124" s="557">
        <f>S124</f>
        <v>0</v>
      </c>
      <c r="S124" s="732"/>
      <c r="T124" s="557"/>
      <c r="U124" s="557"/>
      <c r="V124" s="557"/>
      <c r="W124" s="557"/>
      <c r="X124" s="557"/>
      <c r="Y124" s="602"/>
      <c r="Z124" s="740">
        <f>R124</f>
        <v>0</v>
      </c>
    </row>
    <row r="125" spans="1:26" s="700" customFormat="1" ht="16.5" customHeight="1">
      <c r="A125" s="352" t="s">
        <v>592</v>
      </c>
      <c r="B125" s="395"/>
      <c r="C125" s="395"/>
      <c r="D125" s="395"/>
      <c r="E125" s="395"/>
      <c r="F125" s="594">
        <f>F124</f>
        <v>0</v>
      </c>
      <c r="G125" s="594"/>
      <c r="H125" s="594"/>
      <c r="I125" s="594"/>
      <c r="J125" s="594"/>
      <c r="K125" s="594"/>
      <c r="L125" s="594">
        <f>L124</f>
        <v>0</v>
      </c>
      <c r="M125" s="594"/>
      <c r="N125" s="395"/>
      <c r="O125" s="395"/>
      <c r="P125" s="395"/>
      <c r="Q125" s="395"/>
      <c r="R125" s="395">
        <f>S125</f>
        <v>0</v>
      </c>
      <c r="S125" s="395">
        <f>S124</f>
        <v>0</v>
      </c>
      <c r="T125" s="395"/>
      <c r="U125" s="395"/>
      <c r="V125" s="395"/>
      <c r="W125" s="395"/>
      <c r="X125" s="395"/>
      <c r="Y125" s="594"/>
      <c r="Z125" s="741">
        <f>Z124</f>
        <v>0</v>
      </c>
    </row>
    <row r="126" spans="1:38" ht="18.75" customHeight="1" hidden="1">
      <c r="A126" s="323" t="s">
        <v>377</v>
      </c>
      <c r="B126" s="310"/>
      <c r="C126" s="312"/>
      <c r="D126" s="312"/>
      <c r="E126" s="312"/>
      <c r="F126" s="593"/>
      <c r="G126" s="592"/>
      <c r="H126" s="592"/>
      <c r="I126" s="592"/>
      <c r="J126" s="592"/>
      <c r="K126" s="592"/>
      <c r="L126" s="592"/>
      <c r="M126" s="592"/>
      <c r="N126" s="312"/>
      <c r="O126" s="312"/>
      <c r="P126" s="312"/>
      <c r="Q126" s="549"/>
      <c r="R126" s="312"/>
      <c r="S126" s="312"/>
      <c r="T126" s="312"/>
      <c r="U126" s="312"/>
      <c r="V126" s="310"/>
      <c r="W126" s="312"/>
      <c r="X126" s="312"/>
      <c r="Y126" s="592"/>
      <c r="Z126" s="742">
        <f>Q126</f>
        <v>0</v>
      </c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</row>
    <row r="127" spans="1:38" s="134" customFormat="1" ht="78.75" customHeight="1" hidden="1">
      <c r="A127" s="699" t="s">
        <v>474</v>
      </c>
      <c r="B127" s="310"/>
      <c r="C127" s="310"/>
      <c r="D127" s="310"/>
      <c r="E127" s="310"/>
      <c r="F127" s="593"/>
      <c r="G127" s="593"/>
      <c r="H127" s="593"/>
      <c r="I127" s="593"/>
      <c r="J127" s="593"/>
      <c r="K127" s="593"/>
      <c r="L127" s="593"/>
      <c r="M127" s="593"/>
      <c r="N127" s="310"/>
      <c r="O127" s="310"/>
      <c r="P127" s="310"/>
      <c r="Q127" s="310"/>
      <c r="R127" s="310"/>
      <c r="S127" s="310"/>
      <c r="T127" s="310"/>
      <c r="U127" s="310"/>
      <c r="V127" s="310"/>
      <c r="W127" s="310"/>
      <c r="X127" s="310"/>
      <c r="Y127" s="593"/>
      <c r="Z127" s="742">
        <f>Q127</f>
        <v>0</v>
      </c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</row>
    <row r="128" spans="1:38" s="134" customFormat="1" ht="25.5" customHeight="1" hidden="1">
      <c r="A128" s="352" t="s">
        <v>518</v>
      </c>
      <c r="B128" s="395"/>
      <c r="C128" s="395"/>
      <c r="D128" s="395"/>
      <c r="E128" s="395"/>
      <c r="F128" s="594"/>
      <c r="G128" s="594"/>
      <c r="H128" s="594"/>
      <c r="I128" s="594"/>
      <c r="J128" s="594"/>
      <c r="K128" s="594"/>
      <c r="L128" s="594"/>
      <c r="M128" s="594"/>
      <c r="N128" s="395"/>
      <c r="O128" s="395"/>
      <c r="P128" s="395"/>
      <c r="Q128" s="395">
        <f>Q127</f>
        <v>0</v>
      </c>
      <c r="R128" s="395"/>
      <c r="S128" s="395"/>
      <c r="T128" s="395"/>
      <c r="U128" s="395"/>
      <c r="V128" s="395"/>
      <c r="W128" s="395"/>
      <c r="X128" s="395"/>
      <c r="Y128" s="594"/>
      <c r="Z128" s="594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</row>
    <row r="129" spans="1:38" s="134" customFormat="1" ht="25.5" customHeight="1">
      <c r="A129" s="830" t="s">
        <v>1169</v>
      </c>
      <c r="B129" s="310"/>
      <c r="C129" s="310"/>
      <c r="D129" s="310"/>
      <c r="E129" s="310"/>
      <c r="F129" s="593"/>
      <c r="G129" s="593"/>
      <c r="H129" s="593"/>
      <c r="I129" s="593"/>
      <c r="J129" s="593"/>
      <c r="K129" s="593"/>
      <c r="L129" s="593"/>
      <c r="M129" s="593"/>
      <c r="N129" s="310"/>
      <c r="O129" s="310"/>
      <c r="P129" s="310"/>
      <c r="Q129" s="310"/>
      <c r="R129" s="310"/>
      <c r="S129" s="310"/>
      <c r="T129" s="310"/>
      <c r="U129" s="310"/>
      <c r="V129" s="310"/>
      <c r="W129" s="310"/>
      <c r="X129" s="310"/>
      <c r="Y129" s="593"/>
      <c r="Z129" s="593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</row>
    <row r="130" spans="1:38" s="134" customFormat="1" ht="25.5" customHeight="1">
      <c r="A130" s="392" t="s">
        <v>475</v>
      </c>
      <c r="B130" s="310"/>
      <c r="C130" s="310"/>
      <c r="D130" s="310"/>
      <c r="E130" s="310"/>
      <c r="F130" s="324">
        <f>SUM(G130:L130)</f>
        <v>86</v>
      </c>
      <c r="G130" s="593"/>
      <c r="H130" s="312">
        <v>20</v>
      </c>
      <c r="I130" s="593"/>
      <c r="J130" s="593"/>
      <c r="K130" s="593"/>
      <c r="L130" s="312">
        <v>66</v>
      </c>
      <c r="M130" s="593"/>
      <c r="N130" s="310"/>
      <c r="O130" s="310"/>
      <c r="P130" s="310"/>
      <c r="Q130" s="310"/>
      <c r="R130" s="310"/>
      <c r="S130" s="310"/>
      <c r="T130" s="310"/>
      <c r="U130" s="312">
        <v>120</v>
      </c>
      <c r="V130" s="310">
        <f>SUM(W130:Y130)</f>
        <v>113.5</v>
      </c>
      <c r="W130" s="736">
        <v>9.5</v>
      </c>
      <c r="X130" s="310"/>
      <c r="Y130" s="312">
        <v>104</v>
      </c>
      <c r="Z130" s="310">
        <f>B130+F130+N130+U130+V130</f>
        <v>319.5</v>
      </c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</row>
    <row r="131" spans="1:38" s="134" customFormat="1" ht="25.5" customHeight="1">
      <c r="A131" s="823" t="s">
        <v>1170</v>
      </c>
      <c r="B131" s="1050"/>
      <c r="C131" s="1050"/>
      <c r="D131" s="1050"/>
      <c r="E131" s="1050"/>
      <c r="F131" s="1051">
        <f>F130</f>
        <v>86</v>
      </c>
      <c r="G131" s="1052"/>
      <c r="H131" s="1053">
        <f>H130</f>
        <v>20</v>
      </c>
      <c r="I131" s="1052"/>
      <c r="J131" s="1052"/>
      <c r="K131" s="1052"/>
      <c r="L131" s="1053">
        <f>L130</f>
        <v>66</v>
      </c>
      <c r="M131" s="1052"/>
      <c r="N131" s="1050"/>
      <c r="O131" s="1050"/>
      <c r="P131" s="1050"/>
      <c r="Q131" s="1050"/>
      <c r="R131" s="1050"/>
      <c r="S131" s="1050"/>
      <c r="T131" s="1050"/>
      <c r="U131" s="1053">
        <f>U130</f>
        <v>120</v>
      </c>
      <c r="V131" s="1050">
        <f>V130</f>
        <v>113.5</v>
      </c>
      <c r="W131" s="1054">
        <f>W130</f>
        <v>9.5</v>
      </c>
      <c r="X131" s="1050"/>
      <c r="Y131" s="1053">
        <f>Y130</f>
        <v>104</v>
      </c>
      <c r="Z131" s="1050">
        <f>Z130</f>
        <v>319.5</v>
      </c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</row>
    <row r="132" spans="1:38" s="134" customFormat="1" ht="25.5" customHeight="1">
      <c r="A132" s="1055" t="s">
        <v>1171</v>
      </c>
      <c r="B132" s="310"/>
      <c r="C132" s="310"/>
      <c r="D132" s="310"/>
      <c r="E132" s="310"/>
      <c r="F132" s="324"/>
      <c r="G132" s="593"/>
      <c r="H132" s="312"/>
      <c r="I132" s="593"/>
      <c r="J132" s="593"/>
      <c r="K132" s="593"/>
      <c r="L132" s="312"/>
      <c r="M132" s="593"/>
      <c r="N132" s="310"/>
      <c r="O132" s="310"/>
      <c r="P132" s="310"/>
      <c r="Q132" s="310"/>
      <c r="R132" s="310"/>
      <c r="S132" s="310"/>
      <c r="T132" s="310"/>
      <c r="U132" s="312"/>
      <c r="V132" s="310"/>
      <c r="W132" s="736"/>
      <c r="X132" s="310"/>
      <c r="Y132" s="312"/>
      <c r="Z132" s="31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</row>
    <row r="133" spans="1:38" s="134" customFormat="1" ht="32.25" customHeight="1">
      <c r="A133" s="874" t="s">
        <v>939</v>
      </c>
      <c r="B133" s="310"/>
      <c r="C133" s="310"/>
      <c r="D133" s="310"/>
      <c r="E133" s="310"/>
      <c r="F133" s="324"/>
      <c r="G133" s="593"/>
      <c r="H133" s="312"/>
      <c r="I133" s="593"/>
      <c r="J133" s="593"/>
      <c r="K133" s="593"/>
      <c r="L133" s="312"/>
      <c r="M133" s="1062">
        <v>216</v>
      </c>
      <c r="N133" s="310"/>
      <c r="O133" s="310"/>
      <c r="P133" s="310"/>
      <c r="Q133" s="310"/>
      <c r="R133" s="310"/>
      <c r="S133" s="310"/>
      <c r="T133" s="310"/>
      <c r="U133" s="312"/>
      <c r="V133" s="310"/>
      <c r="W133" s="736"/>
      <c r="X133" s="310"/>
      <c r="Y133" s="312"/>
      <c r="Z133" s="310">
        <f>M133</f>
        <v>216</v>
      </c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</row>
    <row r="134" spans="1:38" s="134" customFormat="1" ht="32.25" customHeight="1">
      <c r="A134" s="1056" t="s">
        <v>1172</v>
      </c>
      <c r="B134" s="1057"/>
      <c r="C134" s="1057"/>
      <c r="D134" s="1057"/>
      <c r="E134" s="1057"/>
      <c r="F134" s="1058"/>
      <c r="G134" s="1059"/>
      <c r="H134" s="1060"/>
      <c r="I134" s="1059"/>
      <c r="J134" s="1059"/>
      <c r="K134" s="1059"/>
      <c r="L134" s="1060"/>
      <c r="M134" s="1059">
        <f>M133</f>
        <v>216</v>
      </c>
      <c r="N134" s="1057"/>
      <c r="O134" s="1057"/>
      <c r="P134" s="1057"/>
      <c r="Q134" s="1057"/>
      <c r="R134" s="1057"/>
      <c r="S134" s="1057"/>
      <c r="T134" s="1057"/>
      <c r="U134" s="1060"/>
      <c r="V134" s="1057"/>
      <c r="W134" s="1061"/>
      <c r="X134" s="1057"/>
      <c r="Y134" s="1060"/>
      <c r="Z134" s="1057">
        <f>Z133</f>
        <v>216</v>
      </c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</row>
    <row r="135" spans="1:26" s="101" customFormat="1" ht="24.75" customHeight="1">
      <c r="A135" s="398" t="s">
        <v>257</v>
      </c>
      <c r="B135" s="399">
        <f>B14+B25+B28+B31+B39+B46+B52+B56+B110+B116+B119+B128+B19+B69+B85+B122+B125</f>
        <v>5177.9</v>
      </c>
      <c r="C135" s="399">
        <f aca="true" t="shared" si="22" ref="C135:X135">C14+C25+C28+C31+C39+C46+C52+C56+C110+C116+C119+C128+C19+C69+C85+C122+C125</f>
        <v>3792</v>
      </c>
      <c r="D135" s="399">
        <f t="shared" si="22"/>
        <v>88</v>
      </c>
      <c r="E135" s="739">
        <f t="shared" si="22"/>
        <v>1297.9</v>
      </c>
      <c r="F135" s="597">
        <f>F14+F25+F28+F31+F39+F46+F52+F56+F110+F116+F119+F128+F19+F69+F85+F122+F125+F131</f>
        <v>2512.0186</v>
      </c>
      <c r="G135" s="597">
        <f t="shared" si="22"/>
        <v>155.60000000000002</v>
      </c>
      <c r="H135" s="597">
        <f>H14+H25+H28+H31+H39+H46+H52+H56+H110+H116+H119+H128+H19+H69+H85+H122+H125+H131</f>
        <v>105</v>
      </c>
      <c r="I135" s="597">
        <f t="shared" si="22"/>
        <v>1375.9</v>
      </c>
      <c r="J135" s="597">
        <f t="shared" si="22"/>
        <v>6</v>
      </c>
      <c r="K135" s="597">
        <f t="shared" si="22"/>
        <v>329.91532</v>
      </c>
      <c r="L135" s="597">
        <f>L14+L25+L28+L31+L39+L46+L52+L56+L110+L116+L119+L128+L19+L69+L85+L122+L125+L130</f>
        <v>539.60328</v>
      </c>
      <c r="M135" s="597">
        <f>M134</f>
        <v>216</v>
      </c>
      <c r="N135" s="1072">
        <f t="shared" si="22"/>
        <v>967.00056</v>
      </c>
      <c r="O135" s="1072">
        <f t="shared" si="22"/>
        <v>0</v>
      </c>
      <c r="P135" s="1072">
        <f t="shared" si="22"/>
        <v>967.00056</v>
      </c>
      <c r="Q135" s="399">
        <f t="shared" si="22"/>
        <v>0</v>
      </c>
      <c r="R135" s="399">
        <f t="shared" si="22"/>
        <v>553.8</v>
      </c>
      <c r="S135" s="739">
        <f t="shared" si="22"/>
        <v>0</v>
      </c>
      <c r="T135" s="399">
        <f t="shared" si="22"/>
        <v>553.8</v>
      </c>
      <c r="U135" s="597">
        <f>U25+U28+U116+U131</f>
        <v>433.63942</v>
      </c>
      <c r="V135" s="739">
        <f>V14+V25+V28+V31+V39+V46+V52+V56+V110+V116+V119+V128+V19+V69+V85+V122+V125+V131</f>
        <v>24671.55</v>
      </c>
      <c r="W135" s="399">
        <f>W14+W25+W28+W31+W39+W46+W52+W56+W110+W116+W119+W128+W19+W69+W85+W122+W125+W131</f>
        <v>1025.9</v>
      </c>
      <c r="X135" s="597">
        <f t="shared" si="22"/>
        <v>0</v>
      </c>
      <c r="Y135" s="399">
        <f>Y14+Y25+Y28+Y31+Y39+Y46+Y52+Y56+Y110+Y116+Y119+Y128+Y19+Y69+Y85+Y122+Y125+Y131</f>
        <v>23645.649999999998</v>
      </c>
      <c r="Z135" s="866">
        <f>Z14+Z25+Z28+Z31+Z39+Z46+Z52+Z56+Z110+Z116+Z119+Z127+Z122+Y137+Z85+Z19+Z125+Z22+Z131+Z134</f>
        <v>34531.908579999996</v>
      </c>
    </row>
    <row r="136" spans="1:38" ht="15.75">
      <c r="A136" s="10"/>
      <c r="B136" s="325"/>
      <c r="C136" s="334"/>
      <c r="D136" s="334"/>
      <c r="E136" s="334"/>
      <c r="F136" s="335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T136" s="334"/>
      <c r="U136" s="334"/>
      <c r="V136" s="335"/>
      <c r="W136" s="334"/>
      <c r="X136" s="334"/>
      <c r="Y136" s="598" t="s">
        <v>479</v>
      </c>
      <c r="Z136" s="867">
        <f>B135+F135+M135+N135+Q135+R135+U135+V135</f>
        <v>34531.908579999996</v>
      </c>
      <c r="AA136" s="533">
        <f>Z135-Z136</f>
        <v>0</v>
      </c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</row>
    <row r="137" spans="2:38" ht="15.75">
      <c r="B137" s="325"/>
      <c r="C137" s="101"/>
      <c r="D137" s="101"/>
      <c r="E137" s="101"/>
      <c r="F137" s="4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40"/>
      <c r="W137" s="101" t="s">
        <v>340</v>
      </c>
      <c r="X137" s="101"/>
      <c r="Y137" s="802"/>
      <c r="Z137" s="805">
        <v>50</v>
      </c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</row>
    <row r="138" spans="1:38" ht="15.75">
      <c r="A138" s="333"/>
      <c r="B138" s="325"/>
      <c r="C138" s="101"/>
      <c r="D138" s="101"/>
      <c r="E138" s="101"/>
      <c r="F138" s="4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40"/>
      <c r="W138" s="101"/>
      <c r="X138" s="101"/>
      <c r="Y138" s="802"/>
      <c r="Z138" s="865">
        <f>Z136+Z137</f>
        <v>34581.908579999996</v>
      </c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</row>
    <row r="139" spans="1:38" ht="15.75">
      <c r="A139" s="333"/>
      <c r="B139" s="325"/>
      <c r="C139" s="101"/>
      <c r="D139" s="101"/>
      <c r="E139" s="101"/>
      <c r="F139" s="4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40"/>
      <c r="W139" s="101"/>
      <c r="X139" s="101"/>
      <c r="Y139" s="802"/>
      <c r="Z139" s="803">
        <f>Z138-Z137</f>
        <v>34531.908579999996</v>
      </c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</row>
    <row r="140" spans="1:38" ht="15.75">
      <c r="A140" s="333"/>
      <c r="B140" s="325"/>
      <c r="C140" s="101"/>
      <c r="D140" s="101"/>
      <c r="E140" s="101"/>
      <c r="F140" s="4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40"/>
      <c r="W140" s="101"/>
      <c r="X140" s="101"/>
      <c r="Y140" s="101"/>
      <c r="Z140" s="40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</row>
    <row r="141" spans="1:38" ht="15.75">
      <c r="A141" s="333"/>
      <c r="B141" s="325"/>
      <c r="C141" s="101"/>
      <c r="D141" s="101"/>
      <c r="E141" s="101"/>
      <c r="F141" s="4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40"/>
      <c r="W141" s="101"/>
      <c r="X141" s="101"/>
      <c r="Y141" s="101"/>
      <c r="Z141" s="600">
        <f>Z138-Z136</f>
        <v>50</v>
      </c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</row>
    <row r="142" spans="1:38" ht="15.75">
      <c r="A142" s="333"/>
      <c r="B142" s="325"/>
      <c r="C142" s="101"/>
      <c r="D142" s="101"/>
      <c r="E142" s="101"/>
      <c r="F142" s="4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40"/>
      <c r="W142" s="101"/>
      <c r="X142" s="101"/>
      <c r="Y142" s="101"/>
      <c r="Z142" s="40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</row>
    <row r="143" spans="1:38" ht="15.75">
      <c r="A143" s="333"/>
      <c r="B143" s="325"/>
      <c r="C143" s="101"/>
      <c r="D143" s="101"/>
      <c r="E143" s="101"/>
      <c r="F143" s="4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40"/>
      <c r="W143" s="101"/>
      <c r="X143" s="101"/>
      <c r="Y143" s="101"/>
      <c r="Z143" s="40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</row>
    <row r="144" spans="1:38" ht="15.75">
      <c r="A144" s="333"/>
      <c r="B144" s="325"/>
      <c r="C144" s="101"/>
      <c r="D144" s="101"/>
      <c r="E144" s="101"/>
      <c r="F144" s="4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40"/>
      <c r="W144" s="101"/>
      <c r="X144" s="101"/>
      <c r="Y144" s="101"/>
      <c r="Z144" s="40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</row>
    <row r="145" spans="1:38" ht="15.75">
      <c r="A145" s="333"/>
      <c r="B145" s="325"/>
      <c r="C145" s="101"/>
      <c r="D145" s="101"/>
      <c r="E145" s="101"/>
      <c r="F145" s="4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40"/>
      <c r="W145" s="101"/>
      <c r="X145" s="101"/>
      <c r="Y145" s="101"/>
      <c r="Z145" s="40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</row>
    <row r="146" spans="1:38" ht="15.75">
      <c r="A146" s="333"/>
      <c r="B146" s="325"/>
      <c r="C146" s="101"/>
      <c r="D146" s="101"/>
      <c r="E146" s="101"/>
      <c r="F146" s="4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40"/>
      <c r="W146" s="101"/>
      <c r="X146" s="101"/>
      <c r="Y146" s="101"/>
      <c r="Z146" s="40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</row>
    <row r="147" spans="1:38" ht="15.75">
      <c r="A147" s="333"/>
      <c r="B147" s="325"/>
      <c r="C147" s="101"/>
      <c r="D147" s="101"/>
      <c r="E147" s="101"/>
      <c r="F147" s="4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40"/>
      <c r="W147" s="101"/>
      <c r="X147" s="101"/>
      <c r="Y147" s="101"/>
      <c r="Z147" s="40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</row>
    <row r="148" spans="1:38" ht="15.75">
      <c r="A148" s="333"/>
      <c r="B148" s="325"/>
      <c r="C148" s="101"/>
      <c r="D148" s="101"/>
      <c r="E148" s="101"/>
      <c r="F148" s="4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40"/>
      <c r="W148" s="101"/>
      <c r="X148" s="101"/>
      <c r="Y148" s="101"/>
      <c r="Z148" s="40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</row>
    <row r="149" spans="1:38" ht="15.75">
      <c r="A149" s="333"/>
      <c r="B149" s="325"/>
      <c r="C149" s="101"/>
      <c r="D149" s="101"/>
      <c r="E149" s="101"/>
      <c r="F149" s="4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40"/>
      <c r="W149" s="101"/>
      <c r="X149" s="101"/>
      <c r="Y149" s="101"/>
      <c r="Z149" s="40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</row>
    <row r="150" spans="1:38" ht="15.75">
      <c r="A150" s="333"/>
      <c r="B150" s="325"/>
      <c r="C150" s="101"/>
      <c r="D150" s="101"/>
      <c r="E150" s="101"/>
      <c r="F150" s="4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40"/>
      <c r="W150" s="101"/>
      <c r="X150" s="101"/>
      <c r="Y150" s="101"/>
      <c r="Z150" s="40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</row>
    <row r="151" spans="1:38" ht="15.75">
      <c r="A151" s="333"/>
      <c r="B151" s="325"/>
      <c r="C151" s="101"/>
      <c r="D151" s="101"/>
      <c r="E151" s="101"/>
      <c r="F151" s="4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40"/>
      <c r="W151" s="101"/>
      <c r="X151" s="101"/>
      <c r="Y151" s="101"/>
      <c r="Z151" s="40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</row>
    <row r="152" spans="1:38" ht="15.75">
      <c r="A152" s="333"/>
      <c r="B152" s="325"/>
      <c r="C152" s="101"/>
      <c r="D152" s="101"/>
      <c r="E152" s="101"/>
      <c r="F152" s="4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40"/>
      <c r="W152" s="101"/>
      <c r="X152" s="101"/>
      <c r="Y152" s="101"/>
      <c r="Z152" s="40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</row>
    <row r="153" spans="1:38" ht="15.75">
      <c r="A153" s="333"/>
      <c r="B153" s="325"/>
      <c r="C153" s="101"/>
      <c r="D153" s="101"/>
      <c r="E153" s="101"/>
      <c r="F153" s="4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40"/>
      <c r="W153" s="101"/>
      <c r="X153" s="101"/>
      <c r="Y153" s="101"/>
      <c r="Z153" s="40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</row>
    <row r="154" spans="1:38" ht="15.75">
      <c r="A154" s="333"/>
      <c r="B154" s="325"/>
      <c r="C154" s="101"/>
      <c r="D154" s="101"/>
      <c r="E154" s="101"/>
      <c r="F154" s="4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40"/>
      <c r="W154" s="101"/>
      <c r="X154" s="101"/>
      <c r="Y154" s="101"/>
      <c r="Z154" s="40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</row>
    <row r="155" spans="1:38" ht="15.75">
      <c r="A155" s="333"/>
      <c r="B155" s="325"/>
      <c r="C155" s="101"/>
      <c r="D155" s="101"/>
      <c r="E155" s="101"/>
      <c r="F155" s="4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40"/>
      <c r="W155" s="101"/>
      <c r="X155" s="101"/>
      <c r="Y155" s="101"/>
      <c r="Z155" s="40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</row>
    <row r="156" spans="1:38" ht="15.75">
      <c r="A156" s="333"/>
      <c r="B156" s="325"/>
      <c r="C156" s="101"/>
      <c r="D156" s="101"/>
      <c r="E156" s="101"/>
      <c r="F156" s="4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40"/>
      <c r="W156" s="101"/>
      <c r="X156" s="101"/>
      <c r="Y156" s="101"/>
      <c r="Z156" s="40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</row>
    <row r="157" spans="1:38" ht="15.75">
      <c r="A157" s="333"/>
      <c r="B157" s="325"/>
      <c r="C157" s="101"/>
      <c r="D157" s="101"/>
      <c r="E157" s="101"/>
      <c r="F157" s="4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40"/>
      <c r="W157" s="101"/>
      <c r="X157" s="101"/>
      <c r="Y157" s="101"/>
      <c r="Z157" s="40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</row>
    <row r="158" spans="1:38" ht="15.75">
      <c r="A158" s="333"/>
      <c r="B158" s="325"/>
      <c r="C158" s="101"/>
      <c r="D158" s="101"/>
      <c r="E158" s="101"/>
      <c r="F158" s="4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40"/>
      <c r="W158" s="101"/>
      <c r="X158" s="101"/>
      <c r="Y158" s="101"/>
      <c r="Z158" s="40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</row>
    <row r="159" spans="1:38" ht="15.75">
      <c r="A159" s="333"/>
      <c r="B159" s="325"/>
      <c r="C159" s="101"/>
      <c r="D159" s="101"/>
      <c r="E159" s="101"/>
      <c r="F159" s="4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40"/>
      <c r="W159" s="101"/>
      <c r="X159" s="101"/>
      <c r="Y159" s="101"/>
      <c r="Z159" s="40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</row>
    <row r="160" spans="1:38" ht="15.75">
      <c r="A160" s="333"/>
      <c r="B160" s="325"/>
      <c r="C160" s="101"/>
      <c r="D160" s="101"/>
      <c r="E160" s="101"/>
      <c r="F160" s="4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40"/>
      <c r="W160" s="101"/>
      <c r="X160" s="101"/>
      <c r="Y160" s="101"/>
      <c r="Z160" s="40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</row>
    <row r="161" spans="1:38" ht="15.75">
      <c r="A161" s="333"/>
      <c r="B161" s="325"/>
      <c r="C161" s="101"/>
      <c r="D161" s="101"/>
      <c r="E161" s="101"/>
      <c r="F161" s="4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40"/>
      <c r="W161" s="101"/>
      <c r="X161" s="101"/>
      <c r="Y161" s="101"/>
      <c r="Z161" s="40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</row>
    <row r="162" spans="1:38" ht="15.75">
      <c r="A162" s="333"/>
      <c r="B162" s="325"/>
      <c r="C162" s="101"/>
      <c r="D162" s="101"/>
      <c r="E162" s="101"/>
      <c r="F162" s="4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40"/>
      <c r="W162" s="101"/>
      <c r="X162" s="101"/>
      <c r="Y162" s="101"/>
      <c r="Z162" s="40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</row>
    <row r="163" spans="1:38" ht="15.75">
      <c r="A163" s="333"/>
      <c r="B163" s="325"/>
      <c r="C163" s="101"/>
      <c r="D163" s="101"/>
      <c r="E163" s="101"/>
      <c r="F163" s="4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40"/>
      <c r="W163" s="101"/>
      <c r="X163" s="101"/>
      <c r="Y163" s="101"/>
      <c r="Z163" s="40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</row>
    <row r="164" spans="1:38" ht="15.75">
      <c r="A164" s="333"/>
      <c r="B164" s="325"/>
      <c r="C164" s="101"/>
      <c r="D164" s="101"/>
      <c r="E164" s="101"/>
      <c r="F164" s="4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40"/>
      <c r="W164" s="101"/>
      <c r="X164" s="101"/>
      <c r="Y164" s="101"/>
      <c r="Z164" s="40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</row>
    <row r="165" spans="1:38" ht="15.75">
      <c r="A165" s="333"/>
      <c r="B165" s="325"/>
      <c r="C165" s="101"/>
      <c r="D165" s="101"/>
      <c r="E165" s="101"/>
      <c r="F165" s="4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40"/>
      <c r="W165" s="101"/>
      <c r="X165" s="101"/>
      <c r="Y165" s="101"/>
      <c r="Z165" s="40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</row>
    <row r="166" spans="1:38" ht="15.75">
      <c r="A166" s="333"/>
      <c r="B166" s="325"/>
      <c r="C166" s="101"/>
      <c r="D166" s="101"/>
      <c r="E166" s="101"/>
      <c r="F166" s="4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40"/>
      <c r="W166" s="101"/>
      <c r="X166" s="101"/>
      <c r="Y166" s="101"/>
      <c r="Z166" s="40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</row>
    <row r="167" spans="1:38" ht="15.75">
      <c r="A167" s="333"/>
      <c r="B167" s="325"/>
      <c r="C167" s="101"/>
      <c r="D167" s="101"/>
      <c r="E167" s="101"/>
      <c r="F167" s="4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40"/>
      <c r="W167" s="101"/>
      <c r="X167" s="101"/>
      <c r="Y167" s="101"/>
      <c r="Z167" s="40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</row>
    <row r="168" spans="1:38" ht="15.75">
      <c r="A168" s="333"/>
      <c r="B168" s="325"/>
      <c r="C168" s="101"/>
      <c r="D168" s="101"/>
      <c r="E168" s="101"/>
      <c r="F168" s="4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40"/>
      <c r="W168" s="101"/>
      <c r="X168" s="101"/>
      <c r="Y168" s="101"/>
      <c r="Z168" s="40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</row>
    <row r="169" spans="1:38" ht="15.75">
      <c r="A169" s="333"/>
      <c r="B169" s="325"/>
      <c r="C169" s="101"/>
      <c r="D169" s="101"/>
      <c r="E169" s="101"/>
      <c r="F169" s="4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40"/>
      <c r="W169" s="101"/>
      <c r="X169" s="101"/>
      <c r="Y169" s="101"/>
      <c r="Z169" s="40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</row>
    <row r="170" spans="1:38" ht="15.75">
      <c r="A170" s="333"/>
      <c r="B170" s="325"/>
      <c r="C170" s="101"/>
      <c r="D170" s="101"/>
      <c r="E170" s="101"/>
      <c r="F170" s="4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40"/>
      <c r="W170" s="101"/>
      <c r="X170" s="101"/>
      <c r="Y170" s="101"/>
      <c r="Z170" s="40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</row>
    <row r="171" spans="1:38" ht="15.75">
      <c r="A171" s="333"/>
      <c r="B171" s="325"/>
      <c r="C171" s="101"/>
      <c r="D171" s="101"/>
      <c r="E171" s="101"/>
      <c r="F171" s="4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40"/>
      <c r="W171" s="101"/>
      <c r="X171" s="101"/>
      <c r="Y171" s="101"/>
      <c r="Z171" s="40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</row>
    <row r="172" spans="1:38" ht="15.75">
      <c r="A172" s="333"/>
      <c r="B172" s="325"/>
      <c r="C172" s="101"/>
      <c r="D172" s="101"/>
      <c r="E172" s="101"/>
      <c r="F172" s="4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40"/>
      <c r="W172" s="101"/>
      <c r="X172" s="101"/>
      <c r="Y172" s="101"/>
      <c r="Z172" s="40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</row>
    <row r="173" spans="1:38" ht="15.75">
      <c r="A173" s="333"/>
      <c r="B173" s="325"/>
      <c r="C173" s="101"/>
      <c r="D173" s="101"/>
      <c r="E173" s="101"/>
      <c r="F173" s="4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40"/>
      <c r="W173" s="101"/>
      <c r="X173" s="101"/>
      <c r="Y173" s="101"/>
      <c r="Z173" s="40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</row>
    <row r="174" spans="1:38" ht="15.75">
      <c r="A174" s="333"/>
      <c r="B174" s="325"/>
      <c r="C174" s="101"/>
      <c r="D174" s="101"/>
      <c r="E174" s="101"/>
      <c r="F174" s="4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40"/>
      <c r="W174" s="101"/>
      <c r="X174" s="101"/>
      <c r="Y174" s="101"/>
      <c r="Z174" s="40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</row>
    <row r="175" spans="1:38" ht="15.75">
      <c r="A175" s="333"/>
      <c r="B175" s="325"/>
      <c r="C175" s="101"/>
      <c r="D175" s="101"/>
      <c r="E175" s="101"/>
      <c r="F175" s="4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40"/>
      <c r="W175" s="101"/>
      <c r="X175" s="101"/>
      <c r="Y175" s="101"/>
      <c r="Z175" s="40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</row>
    <row r="176" spans="1:38" ht="15.75">
      <c r="A176" s="333"/>
      <c r="B176" s="325"/>
      <c r="C176" s="101"/>
      <c r="D176" s="101"/>
      <c r="E176" s="101"/>
      <c r="F176" s="4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40"/>
      <c r="W176" s="101"/>
      <c r="X176" s="101"/>
      <c r="Y176" s="101"/>
      <c r="Z176" s="40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</row>
    <row r="177" spans="1:38" ht="15.75">
      <c r="A177" s="333"/>
      <c r="B177" s="325"/>
      <c r="C177" s="101"/>
      <c r="D177" s="101"/>
      <c r="E177" s="101"/>
      <c r="F177" s="4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40"/>
      <c r="W177" s="101"/>
      <c r="X177" s="101"/>
      <c r="Y177" s="101"/>
      <c r="Z177" s="40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</row>
    <row r="178" spans="1:38" ht="15.75">
      <c r="A178" s="333"/>
      <c r="B178" s="325"/>
      <c r="C178" s="101"/>
      <c r="D178" s="101"/>
      <c r="E178" s="101"/>
      <c r="F178" s="4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40"/>
      <c r="W178" s="101"/>
      <c r="X178" s="101"/>
      <c r="Y178" s="101"/>
      <c r="Z178" s="40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</row>
    <row r="179" spans="1:38" ht="15.75">
      <c r="A179" s="333"/>
      <c r="B179" s="325"/>
      <c r="C179" s="101"/>
      <c r="D179" s="101"/>
      <c r="E179" s="101"/>
      <c r="F179" s="4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40"/>
      <c r="W179" s="101"/>
      <c r="X179" s="101"/>
      <c r="Y179" s="101"/>
      <c r="Z179" s="40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</row>
    <row r="180" spans="1:38" ht="15.75">
      <c r="A180" s="333"/>
      <c r="B180" s="325"/>
      <c r="C180" s="101"/>
      <c r="D180" s="101"/>
      <c r="E180" s="101"/>
      <c r="F180" s="4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40"/>
      <c r="W180" s="101"/>
      <c r="X180" s="101"/>
      <c r="Y180" s="101"/>
      <c r="Z180" s="40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</row>
    <row r="181" spans="1:38" ht="15.75">
      <c r="A181" s="333"/>
      <c r="B181" s="325"/>
      <c r="C181" s="101"/>
      <c r="D181" s="101"/>
      <c r="E181" s="101"/>
      <c r="F181" s="4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40"/>
      <c r="W181" s="101"/>
      <c r="X181" s="101"/>
      <c r="Y181" s="101"/>
      <c r="Z181" s="40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</row>
    <row r="182" spans="1:38" ht="15.75">
      <c r="A182" s="333"/>
      <c r="B182" s="325"/>
      <c r="C182" s="101"/>
      <c r="D182" s="101"/>
      <c r="E182" s="101"/>
      <c r="F182" s="4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40"/>
      <c r="W182" s="101"/>
      <c r="X182" s="101"/>
      <c r="Y182" s="101"/>
      <c r="Z182" s="40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</row>
    <row r="183" spans="1:38" ht="15.75">
      <c r="A183" s="333"/>
      <c r="B183" s="325"/>
      <c r="C183" s="101"/>
      <c r="D183" s="101"/>
      <c r="E183" s="101"/>
      <c r="F183" s="4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40"/>
      <c r="W183" s="101"/>
      <c r="X183" s="101"/>
      <c r="Y183" s="101"/>
      <c r="Z183" s="40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</row>
    <row r="184" spans="1:38" ht="15.75">
      <c r="A184" s="333"/>
      <c r="B184" s="325"/>
      <c r="C184" s="101"/>
      <c r="D184" s="101"/>
      <c r="E184" s="101"/>
      <c r="F184" s="4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40"/>
      <c r="W184" s="101"/>
      <c r="X184" s="101"/>
      <c r="Y184" s="101"/>
      <c r="Z184" s="40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</row>
    <row r="185" spans="1:38" ht="15.75">
      <c r="A185" s="333"/>
      <c r="B185" s="325"/>
      <c r="C185" s="101"/>
      <c r="D185" s="101"/>
      <c r="E185" s="101"/>
      <c r="F185" s="4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40"/>
      <c r="W185" s="101"/>
      <c r="X185" s="101"/>
      <c r="Y185" s="101"/>
      <c r="Z185" s="40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</row>
    <row r="186" spans="1:38" ht="15.75">
      <c r="A186" s="333"/>
      <c r="B186" s="325"/>
      <c r="C186" s="101"/>
      <c r="D186" s="101"/>
      <c r="E186" s="101"/>
      <c r="F186" s="4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40"/>
      <c r="W186" s="101"/>
      <c r="X186" s="101"/>
      <c r="Y186" s="101"/>
      <c r="Z186" s="40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</row>
    <row r="187" spans="1:38" ht="15.75">
      <c r="A187" s="333"/>
      <c r="B187" s="325"/>
      <c r="C187" s="101"/>
      <c r="D187" s="101"/>
      <c r="E187" s="101"/>
      <c r="F187" s="4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40"/>
      <c r="W187" s="101"/>
      <c r="X187" s="101"/>
      <c r="Y187" s="101"/>
      <c r="Z187" s="40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</row>
    <row r="188" spans="1:38" ht="15.75">
      <c r="A188" s="333"/>
      <c r="B188" s="325"/>
      <c r="C188" s="101"/>
      <c r="D188" s="101"/>
      <c r="E188" s="101"/>
      <c r="F188" s="4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40"/>
      <c r="W188" s="101"/>
      <c r="X188" s="101"/>
      <c r="Y188" s="101"/>
      <c r="Z188" s="40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</row>
    <row r="189" spans="1:38" ht="15.75">
      <c r="A189" s="333"/>
      <c r="B189" s="325"/>
      <c r="C189" s="101"/>
      <c r="D189" s="101"/>
      <c r="E189" s="101"/>
      <c r="F189" s="4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40"/>
      <c r="W189" s="101"/>
      <c r="X189" s="101"/>
      <c r="Y189" s="101"/>
      <c r="Z189" s="40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</row>
    <row r="190" spans="1:38" ht="15.75">
      <c r="A190" s="333"/>
      <c r="B190" s="325"/>
      <c r="C190" s="101"/>
      <c r="D190" s="101"/>
      <c r="E190" s="101"/>
      <c r="F190" s="40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40"/>
      <c r="W190" s="101"/>
      <c r="X190" s="101"/>
      <c r="Y190" s="101"/>
      <c r="Z190" s="40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</row>
    <row r="191" spans="1:38" ht="15.75">
      <c r="A191" s="333"/>
      <c r="B191" s="325"/>
      <c r="C191" s="101"/>
      <c r="D191" s="101"/>
      <c r="E191" s="101"/>
      <c r="F191" s="40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40"/>
      <c r="W191" s="101"/>
      <c r="X191" s="101"/>
      <c r="Y191" s="101"/>
      <c r="Z191" s="40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</row>
    <row r="192" spans="1:38" ht="15.75">
      <c r="A192" s="333"/>
      <c r="B192" s="325"/>
      <c r="C192" s="101"/>
      <c r="D192" s="101"/>
      <c r="E192" s="101"/>
      <c r="F192" s="40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40"/>
      <c r="W192" s="101"/>
      <c r="X192" s="101"/>
      <c r="Y192" s="101"/>
      <c r="Z192" s="40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</row>
    <row r="193" spans="1:38" ht="15.75">
      <c r="A193" s="333"/>
      <c r="B193" s="325"/>
      <c r="C193" s="101"/>
      <c r="D193" s="101"/>
      <c r="E193" s="101"/>
      <c r="F193" s="40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40"/>
      <c r="W193" s="101"/>
      <c r="X193" s="101"/>
      <c r="Y193" s="101"/>
      <c r="Z193" s="40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</row>
    <row r="194" spans="1:38" ht="15.75">
      <c r="A194" s="333"/>
      <c r="B194" s="325"/>
      <c r="C194" s="101"/>
      <c r="D194" s="101"/>
      <c r="E194" s="101"/>
      <c r="F194" s="40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40"/>
      <c r="W194" s="101"/>
      <c r="X194" s="101"/>
      <c r="Y194" s="101"/>
      <c r="Z194" s="40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</row>
    <row r="195" spans="1:38" ht="15.75">
      <c r="A195" s="333"/>
      <c r="B195" s="325"/>
      <c r="C195" s="101"/>
      <c r="D195" s="101"/>
      <c r="E195" s="101"/>
      <c r="F195" s="40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40"/>
      <c r="W195" s="101"/>
      <c r="X195" s="101"/>
      <c r="Y195" s="101"/>
      <c r="Z195" s="40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</row>
    <row r="196" spans="1:38" ht="15.75">
      <c r="A196" s="333"/>
      <c r="B196" s="325"/>
      <c r="C196" s="101"/>
      <c r="D196" s="101"/>
      <c r="E196" s="101"/>
      <c r="F196" s="40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40"/>
      <c r="W196" s="101"/>
      <c r="X196" s="101"/>
      <c r="Y196" s="101"/>
      <c r="Z196" s="40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</row>
    <row r="197" spans="1:38" ht="15.75">
      <c r="A197" s="333"/>
      <c r="B197" s="325"/>
      <c r="C197" s="101"/>
      <c r="D197" s="101"/>
      <c r="E197" s="101"/>
      <c r="F197" s="40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40"/>
      <c r="W197" s="101"/>
      <c r="X197" s="101"/>
      <c r="Y197" s="101"/>
      <c r="Z197" s="40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</row>
    <row r="198" spans="1:38" ht="15.75">
      <c r="A198" s="333"/>
      <c r="B198" s="325"/>
      <c r="C198" s="101"/>
      <c r="D198" s="101"/>
      <c r="E198" s="101"/>
      <c r="F198" s="40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40"/>
      <c r="W198" s="101"/>
      <c r="X198" s="101"/>
      <c r="Y198" s="101"/>
      <c r="Z198" s="40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</row>
    <row r="199" spans="1:38" ht="15.75">
      <c r="A199" s="333"/>
      <c r="B199" s="325"/>
      <c r="C199" s="101"/>
      <c r="D199" s="101"/>
      <c r="E199" s="101"/>
      <c r="F199" s="40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40"/>
      <c r="W199" s="101"/>
      <c r="X199" s="101"/>
      <c r="Y199" s="101"/>
      <c r="Z199" s="40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</row>
    <row r="200" spans="1:38" ht="15.75">
      <c r="A200" s="333"/>
      <c r="B200" s="325"/>
      <c r="C200" s="101"/>
      <c r="D200" s="101"/>
      <c r="E200" s="101"/>
      <c r="F200" s="40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40"/>
      <c r="W200" s="101"/>
      <c r="X200" s="101"/>
      <c r="Y200" s="101"/>
      <c r="Z200" s="40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</row>
    <row r="201" spans="1:38" ht="15.75">
      <c r="A201" s="333"/>
      <c r="B201" s="325"/>
      <c r="C201" s="101"/>
      <c r="D201" s="101"/>
      <c r="E201" s="101"/>
      <c r="F201" s="40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40"/>
      <c r="W201" s="101"/>
      <c r="X201" s="101"/>
      <c r="Y201" s="101"/>
      <c r="Z201" s="40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</row>
    <row r="202" spans="1:38" ht="15.75">
      <c r="A202" s="333"/>
      <c r="B202" s="325"/>
      <c r="C202" s="101"/>
      <c r="D202" s="101"/>
      <c r="E202" s="101"/>
      <c r="F202" s="40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40"/>
      <c r="W202" s="101"/>
      <c r="X202" s="101"/>
      <c r="Y202" s="101"/>
      <c r="Z202" s="40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</row>
    <row r="203" spans="1:38" ht="15.75">
      <c r="A203" s="333"/>
      <c r="B203" s="325"/>
      <c r="C203" s="101"/>
      <c r="D203" s="101"/>
      <c r="E203" s="101"/>
      <c r="F203" s="40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40"/>
      <c r="W203" s="101"/>
      <c r="X203" s="101"/>
      <c r="Y203" s="101"/>
      <c r="Z203" s="40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</row>
    <row r="204" spans="1:38" ht="15.75">
      <c r="A204" s="333"/>
      <c r="B204" s="325"/>
      <c r="C204" s="101"/>
      <c r="D204" s="101"/>
      <c r="E204" s="101"/>
      <c r="F204" s="40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40"/>
      <c r="W204" s="101"/>
      <c r="X204" s="101"/>
      <c r="Y204" s="101"/>
      <c r="Z204" s="40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</row>
    <row r="205" spans="1:38" ht="15.75">
      <c r="A205" s="333"/>
      <c r="B205" s="325"/>
      <c r="C205" s="101"/>
      <c r="D205" s="101"/>
      <c r="E205" s="101"/>
      <c r="F205" s="40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40"/>
      <c r="W205" s="101"/>
      <c r="X205" s="101"/>
      <c r="Y205" s="101"/>
      <c r="Z205" s="40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</row>
    <row r="206" spans="1:38" ht="15.75">
      <c r="A206" s="333"/>
      <c r="B206" s="325"/>
      <c r="C206" s="101"/>
      <c r="D206" s="101"/>
      <c r="E206" s="101"/>
      <c r="F206" s="40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40"/>
      <c r="W206" s="101"/>
      <c r="X206" s="101"/>
      <c r="Y206" s="101"/>
      <c r="Z206" s="40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</row>
    <row r="207" spans="1:38" ht="15.75">
      <c r="A207" s="333"/>
      <c r="B207" s="325"/>
      <c r="C207" s="101"/>
      <c r="D207" s="101"/>
      <c r="E207" s="101"/>
      <c r="F207" s="40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40"/>
      <c r="W207" s="101"/>
      <c r="X207" s="101"/>
      <c r="Y207" s="101"/>
      <c r="Z207" s="40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</row>
    <row r="208" spans="1:38" ht="15.75">
      <c r="A208" s="333"/>
      <c r="B208" s="325"/>
      <c r="C208" s="101"/>
      <c r="D208" s="101"/>
      <c r="E208" s="101"/>
      <c r="F208" s="40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40"/>
      <c r="W208" s="101"/>
      <c r="X208" s="101"/>
      <c r="Y208" s="101"/>
      <c r="Z208" s="40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</row>
    <row r="209" spans="1:38" ht="15.75">
      <c r="A209" s="333"/>
      <c r="B209" s="325"/>
      <c r="C209" s="101"/>
      <c r="D209" s="101"/>
      <c r="E209" s="101"/>
      <c r="F209" s="40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40"/>
      <c r="W209" s="101"/>
      <c r="X209" s="101"/>
      <c r="Y209" s="101"/>
      <c r="Z209" s="40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</row>
    <row r="210" spans="1:38" ht="15.75">
      <c r="A210" s="333"/>
      <c r="B210" s="325"/>
      <c r="C210" s="101"/>
      <c r="D210" s="101"/>
      <c r="E210" s="101"/>
      <c r="F210" s="40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40"/>
      <c r="W210" s="101"/>
      <c r="X210" s="101"/>
      <c r="Y210" s="101"/>
      <c r="Z210" s="40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</row>
    <row r="211" spans="1:38" ht="15.75">
      <c r="A211" s="333"/>
      <c r="B211" s="325"/>
      <c r="C211" s="101"/>
      <c r="D211" s="101"/>
      <c r="E211" s="101"/>
      <c r="F211" s="40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40"/>
      <c r="W211" s="101"/>
      <c r="X211" s="101"/>
      <c r="Y211" s="101"/>
      <c r="Z211" s="40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</row>
    <row r="212" spans="1:38" ht="15.75">
      <c r="A212" s="333"/>
      <c r="B212" s="325"/>
      <c r="C212" s="101"/>
      <c r="D212" s="101"/>
      <c r="E212" s="101"/>
      <c r="F212" s="40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40"/>
      <c r="W212" s="101"/>
      <c r="X212" s="101"/>
      <c r="Y212" s="101"/>
      <c r="Z212" s="40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</row>
    <row r="213" spans="1:38" ht="15.75">
      <c r="A213" s="333"/>
      <c r="B213" s="325"/>
      <c r="C213" s="101"/>
      <c r="D213" s="101"/>
      <c r="E213" s="101"/>
      <c r="F213" s="40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40"/>
      <c r="W213" s="101"/>
      <c r="X213" s="101"/>
      <c r="Y213" s="101"/>
      <c r="Z213" s="40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</row>
    <row r="214" spans="1:38" ht="15.75">
      <c r="A214" s="333"/>
      <c r="B214" s="325"/>
      <c r="C214" s="101"/>
      <c r="D214" s="101"/>
      <c r="E214" s="101"/>
      <c r="F214" s="40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40"/>
      <c r="W214" s="101"/>
      <c r="X214" s="101"/>
      <c r="Y214" s="101"/>
      <c r="Z214" s="40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</row>
    <row r="215" spans="1:38" ht="15.75">
      <c r="A215" s="333"/>
      <c r="B215" s="325"/>
      <c r="C215" s="101"/>
      <c r="D215" s="101"/>
      <c r="E215" s="101"/>
      <c r="F215" s="40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40"/>
      <c r="W215" s="101"/>
      <c r="X215" s="101"/>
      <c r="Y215" s="101"/>
      <c r="Z215" s="40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</row>
    <row r="216" spans="1:38" ht="15.75">
      <c r="A216" s="333"/>
      <c r="B216" s="325"/>
      <c r="C216" s="101"/>
      <c r="D216" s="101"/>
      <c r="E216" s="101"/>
      <c r="F216" s="4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40"/>
      <c r="W216" s="101"/>
      <c r="X216" s="101"/>
      <c r="Y216" s="101"/>
      <c r="Z216" s="40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</row>
    <row r="217" spans="1:38" ht="15.75">
      <c r="A217" s="333"/>
      <c r="B217" s="325"/>
      <c r="C217" s="101"/>
      <c r="D217" s="101"/>
      <c r="E217" s="101"/>
      <c r="F217" s="4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40"/>
      <c r="W217" s="101"/>
      <c r="X217" s="101"/>
      <c r="Y217" s="101"/>
      <c r="Z217" s="40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</row>
    <row r="218" spans="1:38" ht="15.75">
      <c r="A218" s="333"/>
      <c r="B218" s="325"/>
      <c r="C218" s="101"/>
      <c r="D218" s="101"/>
      <c r="E218" s="101"/>
      <c r="F218" s="40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40"/>
      <c r="W218" s="101"/>
      <c r="X218" s="101"/>
      <c r="Y218" s="101"/>
      <c r="Z218" s="40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</row>
    <row r="219" spans="1:38" ht="15.75">
      <c r="A219" s="333"/>
      <c r="B219" s="325"/>
      <c r="C219" s="101"/>
      <c r="D219" s="101"/>
      <c r="E219" s="101"/>
      <c r="F219" s="4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40"/>
      <c r="W219" s="101"/>
      <c r="X219" s="101"/>
      <c r="Y219" s="101"/>
      <c r="Z219" s="40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</row>
    <row r="220" spans="1:38" ht="15.75">
      <c r="A220" s="333"/>
      <c r="B220" s="325"/>
      <c r="C220" s="101"/>
      <c r="D220" s="101"/>
      <c r="E220" s="101"/>
      <c r="F220" s="4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40"/>
      <c r="W220" s="101"/>
      <c r="X220" s="101"/>
      <c r="Y220" s="101"/>
      <c r="Z220" s="40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</row>
    <row r="221" spans="1:38" ht="15.75">
      <c r="A221" s="333"/>
      <c r="B221" s="325"/>
      <c r="C221" s="101"/>
      <c r="D221" s="101"/>
      <c r="E221" s="101"/>
      <c r="F221" s="4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40"/>
      <c r="W221" s="101"/>
      <c r="X221" s="101"/>
      <c r="Y221" s="101"/>
      <c r="Z221" s="40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</row>
    <row r="222" spans="1:38" ht="15.75">
      <c r="A222" s="333"/>
      <c r="B222" s="325"/>
      <c r="C222" s="101"/>
      <c r="D222" s="101"/>
      <c r="E222" s="101"/>
      <c r="F222" s="4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40"/>
      <c r="W222" s="101"/>
      <c r="X222" s="101"/>
      <c r="Y222" s="101"/>
      <c r="Z222" s="40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</row>
    <row r="223" spans="1:38" ht="15.75">
      <c r="A223" s="333"/>
      <c r="B223" s="325"/>
      <c r="C223" s="101"/>
      <c r="D223" s="101"/>
      <c r="E223" s="101"/>
      <c r="F223" s="4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40"/>
      <c r="W223" s="101"/>
      <c r="X223" s="101"/>
      <c r="Y223" s="101"/>
      <c r="Z223" s="40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</row>
    <row r="224" spans="1:38" ht="15.75">
      <c r="A224" s="333"/>
      <c r="B224" s="325"/>
      <c r="C224" s="101"/>
      <c r="D224" s="101"/>
      <c r="E224" s="101"/>
      <c r="F224" s="4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40"/>
      <c r="W224" s="101"/>
      <c r="X224" s="101"/>
      <c r="Y224" s="101"/>
      <c r="Z224" s="40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</row>
    <row r="225" spans="1:38" ht="15.75">
      <c r="A225" s="333"/>
      <c r="B225" s="325"/>
      <c r="C225" s="101"/>
      <c r="D225" s="101"/>
      <c r="E225" s="101"/>
      <c r="F225" s="4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40"/>
      <c r="W225" s="101"/>
      <c r="X225" s="101"/>
      <c r="Y225" s="101"/>
      <c r="Z225" s="40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</row>
    <row r="226" spans="1:38" ht="15.75">
      <c r="A226" s="333"/>
      <c r="B226" s="325"/>
      <c r="C226" s="101"/>
      <c r="D226" s="101"/>
      <c r="E226" s="101"/>
      <c r="F226" s="4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40"/>
      <c r="W226" s="101"/>
      <c r="X226" s="101"/>
      <c r="Y226" s="101"/>
      <c r="Z226" s="40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</row>
    <row r="227" spans="1:38" ht="15.75">
      <c r="A227" s="333"/>
      <c r="B227" s="325"/>
      <c r="C227" s="101"/>
      <c r="D227" s="101"/>
      <c r="E227" s="101"/>
      <c r="F227" s="40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40"/>
      <c r="W227" s="101"/>
      <c r="X227" s="101"/>
      <c r="Y227" s="101"/>
      <c r="Z227" s="40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</row>
    <row r="228" spans="1:38" ht="15.75">
      <c r="A228" s="333"/>
      <c r="B228" s="325"/>
      <c r="C228" s="101"/>
      <c r="D228" s="101"/>
      <c r="E228" s="101"/>
      <c r="F228" s="4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40"/>
      <c r="W228" s="101"/>
      <c r="X228" s="101"/>
      <c r="Y228" s="101"/>
      <c r="Z228" s="40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</row>
    <row r="229" spans="1:38" ht="15.75">
      <c r="A229" s="333"/>
      <c r="B229" s="325"/>
      <c r="C229" s="101"/>
      <c r="D229" s="101"/>
      <c r="E229" s="101"/>
      <c r="F229" s="4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40"/>
      <c r="W229" s="101"/>
      <c r="X229" s="101"/>
      <c r="Y229" s="101"/>
      <c r="Z229" s="40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</row>
    <row r="230" spans="1:38" ht="15.75">
      <c r="A230" s="333"/>
      <c r="B230" s="325"/>
      <c r="C230" s="101"/>
      <c r="D230" s="101"/>
      <c r="E230" s="101"/>
      <c r="F230" s="4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40"/>
      <c r="W230" s="101"/>
      <c r="X230" s="101"/>
      <c r="Y230" s="101"/>
      <c r="Z230" s="40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</row>
    <row r="231" spans="1:38" ht="15.75">
      <c r="A231" s="333"/>
      <c r="B231" s="325"/>
      <c r="C231" s="101"/>
      <c r="D231" s="101"/>
      <c r="E231" s="101"/>
      <c r="F231" s="4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40"/>
      <c r="W231" s="101"/>
      <c r="X231" s="101"/>
      <c r="Y231" s="101"/>
      <c r="Z231" s="40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</row>
    <row r="232" spans="1:38" ht="15.75">
      <c r="A232" s="333"/>
      <c r="B232" s="325"/>
      <c r="C232" s="101"/>
      <c r="D232" s="101"/>
      <c r="E232" s="101"/>
      <c r="F232" s="40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40"/>
      <c r="W232" s="101"/>
      <c r="X232" s="101"/>
      <c r="Y232" s="101"/>
      <c r="Z232" s="40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</row>
    <row r="233" spans="1:38" ht="15.75">
      <c r="A233" s="333"/>
      <c r="B233" s="325"/>
      <c r="C233" s="101"/>
      <c r="D233" s="101"/>
      <c r="E233" s="101"/>
      <c r="F233" s="4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40"/>
      <c r="W233" s="101"/>
      <c r="X233" s="101"/>
      <c r="Y233" s="101"/>
      <c r="Z233" s="40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</row>
    <row r="234" spans="1:38" ht="15.75">
      <c r="A234" s="333"/>
      <c r="B234" s="325"/>
      <c r="C234" s="101"/>
      <c r="D234" s="101"/>
      <c r="E234" s="101"/>
      <c r="F234" s="4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40"/>
      <c r="W234" s="101"/>
      <c r="X234" s="101"/>
      <c r="Y234" s="101"/>
      <c r="Z234" s="40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</row>
    <row r="235" spans="1:38" ht="15.75">
      <c r="A235" s="333"/>
      <c r="B235" s="325"/>
      <c r="C235" s="101"/>
      <c r="D235" s="101"/>
      <c r="E235" s="101"/>
      <c r="F235" s="4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40"/>
      <c r="W235" s="101"/>
      <c r="X235" s="101"/>
      <c r="Y235" s="101"/>
      <c r="Z235" s="40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</row>
    <row r="236" spans="1:38" ht="15.75">
      <c r="A236" s="333"/>
      <c r="B236" s="325"/>
      <c r="C236" s="101"/>
      <c r="D236" s="101"/>
      <c r="E236" s="101"/>
      <c r="F236" s="4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40"/>
      <c r="W236" s="101"/>
      <c r="X236" s="101"/>
      <c r="Y236" s="101"/>
      <c r="Z236" s="40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</row>
    <row r="237" spans="1:38" ht="15.75">
      <c r="A237" s="333"/>
      <c r="B237" s="325"/>
      <c r="C237" s="101"/>
      <c r="D237" s="101"/>
      <c r="E237" s="101"/>
      <c r="F237" s="40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40"/>
      <c r="W237" s="101"/>
      <c r="X237" s="101"/>
      <c r="Y237" s="101"/>
      <c r="Z237" s="40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</row>
    <row r="238" spans="1:38" ht="15.75">
      <c r="A238" s="333"/>
      <c r="B238" s="325"/>
      <c r="C238" s="101"/>
      <c r="D238" s="101"/>
      <c r="E238" s="101"/>
      <c r="F238" s="4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40"/>
      <c r="W238" s="101"/>
      <c r="X238" s="101"/>
      <c r="Y238" s="101"/>
      <c r="Z238" s="40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</row>
    <row r="239" spans="1:38" ht="15.75">
      <c r="A239" s="333"/>
      <c r="B239" s="325"/>
      <c r="C239" s="101"/>
      <c r="D239" s="101"/>
      <c r="E239" s="101"/>
      <c r="F239" s="4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40"/>
      <c r="W239" s="101"/>
      <c r="X239" s="101"/>
      <c r="Y239" s="101"/>
      <c r="Z239" s="40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</row>
    <row r="240" spans="1:38" ht="15.75">
      <c r="A240" s="333"/>
      <c r="B240" s="325"/>
      <c r="C240" s="101"/>
      <c r="D240" s="101"/>
      <c r="E240" s="101"/>
      <c r="F240" s="4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40"/>
      <c r="W240" s="101"/>
      <c r="X240" s="101"/>
      <c r="Y240" s="101"/>
      <c r="Z240" s="40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</row>
    <row r="241" spans="1:38" ht="15.75">
      <c r="A241" s="333"/>
      <c r="B241" s="325"/>
      <c r="C241" s="101"/>
      <c r="D241" s="101"/>
      <c r="E241" s="101"/>
      <c r="F241" s="4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40"/>
      <c r="W241" s="101"/>
      <c r="X241" s="101"/>
      <c r="Y241" s="101"/>
      <c r="Z241" s="40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</row>
    <row r="242" spans="1:38" ht="15.75">
      <c r="A242" s="333"/>
      <c r="B242" s="325"/>
      <c r="C242" s="101"/>
      <c r="D242" s="101"/>
      <c r="E242" s="101"/>
      <c r="F242" s="4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40"/>
      <c r="W242" s="101"/>
      <c r="X242" s="101"/>
      <c r="Y242" s="101"/>
      <c r="Z242" s="40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</row>
    <row r="243" spans="1:38" ht="15.75">
      <c r="A243" s="333"/>
      <c r="B243" s="325"/>
      <c r="C243" s="101"/>
      <c r="D243" s="101"/>
      <c r="E243" s="101"/>
      <c r="F243" s="4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40"/>
      <c r="W243" s="101"/>
      <c r="X243" s="101"/>
      <c r="Y243" s="101"/>
      <c r="Z243" s="40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</row>
    <row r="244" spans="1:38" ht="15.75">
      <c r="A244" s="333"/>
      <c r="B244" s="325"/>
      <c r="C244" s="101"/>
      <c r="D244" s="101"/>
      <c r="E244" s="101"/>
      <c r="F244" s="40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40"/>
      <c r="W244" s="101"/>
      <c r="X244" s="101"/>
      <c r="Y244" s="101"/>
      <c r="Z244" s="40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</row>
    <row r="245" spans="1:38" ht="15.75">
      <c r="A245" s="333"/>
      <c r="B245" s="325"/>
      <c r="C245" s="101"/>
      <c r="D245" s="101"/>
      <c r="E245" s="101"/>
      <c r="F245" s="4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40"/>
      <c r="W245" s="101"/>
      <c r="X245" s="101"/>
      <c r="Y245" s="101"/>
      <c r="Z245" s="40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</row>
    <row r="246" spans="1:38" ht="15.75">
      <c r="A246" s="333"/>
      <c r="B246" s="325"/>
      <c r="C246" s="101"/>
      <c r="D246" s="101"/>
      <c r="E246" s="101"/>
      <c r="F246" s="4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40"/>
      <c r="W246" s="101"/>
      <c r="X246" s="101"/>
      <c r="Y246" s="101"/>
      <c r="Z246" s="40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</row>
    <row r="247" spans="1:38" ht="15.75">
      <c r="A247" s="333"/>
      <c r="B247" s="325"/>
      <c r="C247" s="101"/>
      <c r="D247" s="101"/>
      <c r="E247" s="101"/>
      <c r="F247" s="4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40"/>
      <c r="W247" s="101"/>
      <c r="X247" s="101"/>
      <c r="Y247" s="101"/>
      <c r="Z247" s="40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</row>
    <row r="248" spans="1:38" ht="15.75">
      <c r="A248" s="333"/>
      <c r="B248" s="325"/>
      <c r="C248" s="101"/>
      <c r="D248" s="101"/>
      <c r="E248" s="101"/>
      <c r="F248" s="4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40"/>
      <c r="W248" s="101"/>
      <c r="X248" s="101"/>
      <c r="Y248" s="101"/>
      <c r="Z248" s="40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</row>
    <row r="249" spans="1:38" ht="15.75">
      <c r="A249" s="333"/>
      <c r="B249" s="325"/>
      <c r="C249" s="101"/>
      <c r="D249" s="101"/>
      <c r="E249" s="101"/>
      <c r="F249" s="40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40"/>
      <c r="W249" s="101"/>
      <c r="X249" s="101"/>
      <c r="Y249" s="101"/>
      <c r="Z249" s="40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</row>
    <row r="250" spans="1:38" ht="15.75">
      <c r="A250" s="333"/>
      <c r="B250" s="325"/>
      <c r="C250" s="101"/>
      <c r="D250" s="101"/>
      <c r="E250" s="101"/>
      <c r="F250" s="4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40"/>
      <c r="W250" s="101"/>
      <c r="X250" s="101"/>
      <c r="Y250" s="101"/>
      <c r="Z250" s="40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</row>
    <row r="251" spans="1:38" ht="15.75">
      <c r="A251" s="333"/>
      <c r="B251" s="325"/>
      <c r="C251" s="101"/>
      <c r="D251" s="101"/>
      <c r="E251" s="101"/>
      <c r="F251" s="4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40"/>
      <c r="W251" s="101"/>
      <c r="X251" s="101"/>
      <c r="Y251" s="101"/>
      <c r="Z251" s="40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</row>
    <row r="252" spans="1:38" ht="15.75">
      <c r="A252" s="333"/>
      <c r="B252" s="325"/>
      <c r="C252" s="101"/>
      <c r="D252" s="101"/>
      <c r="E252" s="101"/>
      <c r="F252" s="40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40"/>
      <c r="W252" s="101"/>
      <c r="X252" s="101"/>
      <c r="Y252" s="101"/>
      <c r="Z252" s="40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</row>
    <row r="253" spans="1:38" ht="15.75">
      <c r="A253" s="333"/>
      <c r="B253" s="325"/>
      <c r="C253" s="101"/>
      <c r="D253" s="101"/>
      <c r="E253" s="101"/>
      <c r="F253" s="4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40"/>
      <c r="W253" s="101"/>
      <c r="X253" s="101"/>
      <c r="Y253" s="101"/>
      <c r="Z253" s="40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</row>
    <row r="254" spans="1:38" ht="15.75">
      <c r="A254" s="333"/>
      <c r="B254" s="325"/>
      <c r="C254" s="101"/>
      <c r="D254" s="101"/>
      <c r="E254" s="101"/>
      <c r="F254" s="4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40"/>
      <c r="W254" s="101"/>
      <c r="X254" s="101"/>
      <c r="Y254" s="101"/>
      <c r="Z254" s="40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</row>
    <row r="255" spans="1:38" ht="15.75">
      <c r="A255" s="333"/>
      <c r="B255" s="325"/>
      <c r="C255" s="101"/>
      <c r="D255" s="101"/>
      <c r="E255" s="101"/>
      <c r="F255" s="40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40"/>
      <c r="W255" s="101"/>
      <c r="X255" s="101"/>
      <c r="Y255" s="101"/>
      <c r="Z255" s="40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</row>
    <row r="256" spans="1:38" ht="15.75">
      <c r="A256" s="333"/>
      <c r="B256" s="325"/>
      <c r="C256" s="101"/>
      <c r="D256" s="101"/>
      <c r="E256" s="101"/>
      <c r="F256" s="4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40"/>
      <c r="W256" s="101"/>
      <c r="X256" s="101"/>
      <c r="Y256" s="101"/>
      <c r="Z256" s="40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</row>
    <row r="257" spans="1:38" ht="15.75">
      <c r="A257" s="333"/>
      <c r="B257" s="325"/>
      <c r="C257" s="101"/>
      <c r="D257" s="101"/>
      <c r="E257" s="101"/>
      <c r="F257" s="4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40"/>
      <c r="W257" s="101"/>
      <c r="X257" s="101"/>
      <c r="Y257" s="101"/>
      <c r="Z257" s="40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</row>
    <row r="258" spans="1:38" ht="15.75">
      <c r="A258" s="333"/>
      <c r="B258" s="325"/>
      <c r="C258" s="101"/>
      <c r="D258" s="101"/>
      <c r="E258" s="101"/>
      <c r="F258" s="4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40"/>
      <c r="W258" s="101"/>
      <c r="X258" s="101"/>
      <c r="Y258" s="101"/>
      <c r="Z258" s="40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</row>
    <row r="259" spans="1:38" ht="15.75">
      <c r="A259" s="333"/>
      <c r="B259" s="325"/>
      <c r="C259" s="101"/>
      <c r="D259" s="101"/>
      <c r="E259" s="101"/>
      <c r="F259" s="40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40"/>
      <c r="W259" s="101"/>
      <c r="X259" s="101"/>
      <c r="Y259" s="101"/>
      <c r="Z259" s="40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</row>
    <row r="260" spans="1:38" ht="15.75">
      <c r="A260" s="333"/>
      <c r="B260" s="325"/>
      <c r="C260" s="101"/>
      <c r="D260" s="101"/>
      <c r="E260" s="101"/>
      <c r="F260" s="4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40"/>
      <c r="W260" s="101"/>
      <c r="X260" s="101"/>
      <c r="Y260" s="101"/>
      <c r="Z260" s="40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</row>
    <row r="261" spans="1:38" ht="15.75">
      <c r="A261" s="333"/>
      <c r="B261" s="325"/>
      <c r="C261" s="101"/>
      <c r="D261" s="101"/>
      <c r="E261" s="101"/>
      <c r="F261" s="4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40"/>
      <c r="W261" s="101"/>
      <c r="X261" s="101"/>
      <c r="Y261" s="101"/>
      <c r="Z261" s="40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</row>
    <row r="262" spans="1:38" ht="15.75">
      <c r="A262" s="333"/>
      <c r="B262" s="325"/>
      <c r="C262" s="101"/>
      <c r="D262" s="101"/>
      <c r="E262" s="101"/>
      <c r="F262" s="4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40"/>
      <c r="W262" s="101"/>
      <c r="X262" s="101"/>
      <c r="Y262" s="101"/>
      <c r="Z262" s="40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</row>
    <row r="263" spans="1:38" ht="15.75">
      <c r="A263" s="333"/>
      <c r="B263" s="325"/>
      <c r="C263" s="101"/>
      <c r="D263" s="101"/>
      <c r="E263" s="101"/>
      <c r="F263" s="4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40"/>
      <c r="W263" s="101"/>
      <c r="X263" s="101"/>
      <c r="Y263" s="101"/>
      <c r="Z263" s="40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</row>
    <row r="264" spans="1:38" ht="15.75">
      <c r="A264" s="333"/>
      <c r="B264" s="325"/>
      <c r="C264" s="101"/>
      <c r="D264" s="101"/>
      <c r="E264" s="101"/>
      <c r="F264" s="40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40"/>
      <c r="W264" s="101"/>
      <c r="X264" s="101"/>
      <c r="Y264" s="101"/>
      <c r="Z264" s="40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</row>
    <row r="265" spans="1:38" ht="15.75">
      <c r="A265" s="333"/>
      <c r="B265" s="325"/>
      <c r="C265" s="101"/>
      <c r="D265" s="101"/>
      <c r="E265" s="101"/>
      <c r="F265" s="4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40"/>
      <c r="W265" s="101"/>
      <c r="X265" s="101"/>
      <c r="Y265" s="101"/>
      <c r="Z265" s="40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</row>
    <row r="266" spans="1:38" ht="15.75">
      <c r="A266" s="333"/>
      <c r="B266" s="325"/>
      <c r="C266" s="101"/>
      <c r="D266" s="101"/>
      <c r="E266" s="101"/>
      <c r="F266" s="4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40"/>
      <c r="W266" s="101"/>
      <c r="X266" s="101"/>
      <c r="Y266" s="101"/>
      <c r="Z266" s="40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</row>
    <row r="267" spans="1:38" ht="15.75">
      <c r="A267" s="333"/>
      <c r="B267" s="325"/>
      <c r="C267" s="101"/>
      <c r="D267" s="101"/>
      <c r="E267" s="101"/>
      <c r="F267" s="4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40"/>
      <c r="W267" s="101"/>
      <c r="X267" s="101"/>
      <c r="Y267" s="101"/>
      <c r="Z267" s="40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</row>
    <row r="268" spans="1:38" ht="15.75">
      <c r="A268" s="333"/>
      <c r="B268" s="325"/>
      <c r="C268" s="101"/>
      <c r="D268" s="101"/>
      <c r="E268" s="101"/>
      <c r="F268" s="4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40"/>
      <c r="W268" s="101"/>
      <c r="X268" s="101"/>
      <c r="Y268" s="101"/>
      <c r="Z268" s="40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</row>
    <row r="269" spans="1:38" ht="15.75">
      <c r="A269" s="333"/>
      <c r="B269" s="325"/>
      <c r="C269" s="101"/>
      <c r="D269" s="101"/>
      <c r="E269" s="101"/>
      <c r="F269" s="4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40"/>
      <c r="W269" s="101"/>
      <c r="X269" s="101"/>
      <c r="Y269" s="101"/>
      <c r="Z269" s="40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</row>
    <row r="270" spans="1:38" ht="15.75">
      <c r="A270" s="333"/>
      <c r="B270" s="325"/>
      <c r="C270" s="101"/>
      <c r="D270" s="101"/>
      <c r="E270" s="101"/>
      <c r="F270" s="40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40"/>
      <c r="W270" s="101"/>
      <c r="X270" s="101"/>
      <c r="Y270" s="101"/>
      <c r="Z270" s="40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</row>
    <row r="271" spans="1:38" ht="15.75">
      <c r="A271" s="333"/>
      <c r="B271" s="325"/>
      <c r="C271" s="101"/>
      <c r="D271" s="101"/>
      <c r="E271" s="101"/>
      <c r="F271" s="4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40"/>
      <c r="W271" s="101"/>
      <c r="X271" s="101"/>
      <c r="Y271" s="101"/>
      <c r="Z271" s="40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</row>
    <row r="272" spans="1:38" ht="15.75">
      <c r="A272" s="333"/>
      <c r="B272" s="325"/>
      <c r="C272" s="101"/>
      <c r="D272" s="101"/>
      <c r="E272" s="101"/>
      <c r="F272" s="4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40"/>
      <c r="W272" s="101"/>
      <c r="X272" s="101"/>
      <c r="Y272" s="101"/>
      <c r="Z272" s="40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</row>
    <row r="273" spans="1:38" ht="15.75">
      <c r="A273" s="333"/>
      <c r="B273" s="325"/>
      <c r="C273" s="101"/>
      <c r="D273" s="101"/>
      <c r="E273" s="101"/>
      <c r="F273" s="4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40"/>
      <c r="W273" s="101"/>
      <c r="X273" s="101"/>
      <c r="Y273" s="101"/>
      <c r="Z273" s="40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</row>
    <row r="274" spans="1:38" ht="15.75">
      <c r="A274" s="333"/>
      <c r="B274" s="325"/>
      <c r="C274" s="101"/>
      <c r="D274" s="101"/>
      <c r="E274" s="101"/>
      <c r="F274" s="4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40"/>
      <c r="W274" s="101"/>
      <c r="X274" s="101"/>
      <c r="Y274" s="101"/>
      <c r="Z274" s="40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</row>
    <row r="275" spans="1:38" ht="15.75">
      <c r="A275" s="333"/>
      <c r="B275" s="325"/>
      <c r="C275" s="101"/>
      <c r="D275" s="101"/>
      <c r="E275" s="101"/>
      <c r="F275" s="4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40"/>
      <c r="W275" s="101"/>
      <c r="X275" s="101"/>
      <c r="Y275" s="101"/>
      <c r="Z275" s="40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</row>
    <row r="276" spans="1:38" ht="15.75">
      <c r="A276" s="333"/>
      <c r="B276" s="325"/>
      <c r="C276" s="101"/>
      <c r="D276" s="101"/>
      <c r="E276" s="101"/>
      <c r="F276" s="4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40"/>
      <c r="W276" s="101"/>
      <c r="X276" s="101"/>
      <c r="Y276" s="101"/>
      <c r="Z276" s="40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</row>
    <row r="277" spans="1:38" ht="15.75">
      <c r="A277" s="333"/>
      <c r="B277" s="325"/>
      <c r="C277" s="101"/>
      <c r="D277" s="101"/>
      <c r="E277" s="101"/>
      <c r="F277" s="4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40"/>
      <c r="W277" s="101"/>
      <c r="X277" s="101"/>
      <c r="Y277" s="101"/>
      <c r="Z277" s="40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</row>
    <row r="278" spans="1:38" ht="15.75">
      <c r="A278" s="333"/>
      <c r="B278" s="325"/>
      <c r="C278" s="101"/>
      <c r="D278" s="101"/>
      <c r="E278" s="101"/>
      <c r="F278" s="40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40"/>
      <c r="W278" s="101"/>
      <c r="X278" s="101"/>
      <c r="Y278" s="101"/>
      <c r="Z278" s="40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</row>
    <row r="279" spans="1:38" ht="15.75">
      <c r="A279" s="333"/>
      <c r="B279" s="325"/>
      <c r="C279" s="101"/>
      <c r="D279" s="101"/>
      <c r="E279" s="101"/>
      <c r="F279" s="4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40"/>
      <c r="W279" s="101"/>
      <c r="X279" s="101"/>
      <c r="Y279" s="101"/>
      <c r="Z279" s="40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</row>
    <row r="280" spans="1:38" ht="15.75">
      <c r="A280" s="333"/>
      <c r="B280" s="325"/>
      <c r="C280" s="101"/>
      <c r="D280" s="101"/>
      <c r="E280" s="101"/>
      <c r="F280" s="4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40"/>
      <c r="W280" s="101"/>
      <c r="X280" s="101"/>
      <c r="Y280" s="101"/>
      <c r="Z280" s="40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</row>
    <row r="281" spans="1:38" ht="15.75">
      <c r="A281" s="333"/>
      <c r="B281" s="325"/>
      <c r="C281" s="101"/>
      <c r="D281" s="101"/>
      <c r="E281" s="101"/>
      <c r="F281" s="4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40"/>
      <c r="W281" s="101"/>
      <c r="X281" s="101"/>
      <c r="Y281" s="101"/>
      <c r="Z281" s="40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</row>
    <row r="282" spans="1:38" ht="15.75">
      <c r="A282" s="333"/>
      <c r="B282" s="325"/>
      <c r="C282" s="101"/>
      <c r="D282" s="101"/>
      <c r="E282" s="101"/>
      <c r="F282" s="4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40"/>
      <c r="W282" s="101"/>
      <c r="X282" s="101"/>
      <c r="Y282" s="101"/>
      <c r="Z282" s="40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</row>
    <row r="283" spans="1:38" ht="15.75">
      <c r="A283" s="333"/>
      <c r="B283" s="325"/>
      <c r="C283" s="101"/>
      <c r="D283" s="101"/>
      <c r="E283" s="101"/>
      <c r="F283" s="4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40"/>
      <c r="W283" s="101"/>
      <c r="X283" s="101"/>
      <c r="Y283" s="101"/>
      <c r="Z283" s="40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</row>
    <row r="284" spans="1:38" ht="15.75">
      <c r="A284" s="333"/>
      <c r="B284" s="325"/>
      <c r="C284" s="101"/>
      <c r="D284" s="101"/>
      <c r="E284" s="101"/>
      <c r="F284" s="4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40"/>
      <c r="W284" s="101"/>
      <c r="X284" s="101"/>
      <c r="Y284" s="101"/>
      <c r="Z284" s="40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</row>
    <row r="285" spans="1:38" ht="15.75">
      <c r="A285" s="333"/>
      <c r="B285" s="325"/>
      <c r="C285" s="101"/>
      <c r="D285" s="101"/>
      <c r="E285" s="101"/>
      <c r="F285" s="40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40"/>
      <c r="W285" s="101"/>
      <c r="X285" s="101"/>
      <c r="Y285" s="101"/>
      <c r="Z285" s="40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</row>
    <row r="286" spans="1:38" ht="15.75">
      <c r="A286" s="333"/>
      <c r="B286" s="325"/>
      <c r="C286" s="101"/>
      <c r="D286" s="101"/>
      <c r="E286" s="101"/>
      <c r="F286" s="4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40"/>
      <c r="W286" s="101"/>
      <c r="X286" s="101"/>
      <c r="Y286" s="101"/>
      <c r="Z286" s="40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</row>
    <row r="287" spans="1:38" ht="15.75">
      <c r="A287" s="333"/>
      <c r="B287" s="325"/>
      <c r="C287" s="101"/>
      <c r="D287" s="101"/>
      <c r="E287" s="101"/>
      <c r="F287" s="4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40"/>
      <c r="W287" s="101"/>
      <c r="X287" s="101"/>
      <c r="Y287" s="101"/>
      <c r="Z287" s="40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</row>
    <row r="288" spans="1:38" ht="15.75">
      <c r="A288" s="333"/>
      <c r="B288" s="325"/>
      <c r="C288" s="101"/>
      <c r="D288" s="101"/>
      <c r="E288" s="101"/>
      <c r="F288" s="4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40"/>
      <c r="W288" s="101"/>
      <c r="X288" s="101"/>
      <c r="Y288" s="101"/>
      <c r="Z288" s="40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</row>
    <row r="289" spans="1:38" ht="15.75">
      <c r="A289" s="333"/>
      <c r="B289" s="325"/>
      <c r="C289" s="101"/>
      <c r="D289" s="101"/>
      <c r="E289" s="101"/>
      <c r="F289" s="4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40"/>
      <c r="W289" s="101"/>
      <c r="X289" s="101"/>
      <c r="Y289" s="101"/>
      <c r="Z289" s="40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</row>
    <row r="290" spans="1:38" ht="15.75">
      <c r="A290" s="333"/>
      <c r="B290" s="325"/>
      <c r="C290" s="101"/>
      <c r="D290" s="101"/>
      <c r="E290" s="101"/>
      <c r="F290" s="4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40"/>
      <c r="W290" s="101"/>
      <c r="X290" s="101"/>
      <c r="Y290" s="101"/>
      <c r="Z290" s="40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</row>
    <row r="291" spans="1:38" ht="15.75">
      <c r="A291" s="333"/>
      <c r="B291" s="325"/>
      <c r="C291" s="101"/>
      <c r="D291" s="101"/>
      <c r="E291" s="101"/>
      <c r="F291" s="4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40"/>
      <c r="W291" s="101"/>
      <c r="X291" s="101"/>
      <c r="Y291" s="101"/>
      <c r="Z291" s="40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</row>
    <row r="292" spans="1:38" ht="15.75">
      <c r="A292" s="333"/>
      <c r="B292" s="325"/>
      <c r="C292" s="101"/>
      <c r="D292" s="101"/>
      <c r="E292" s="101"/>
      <c r="F292" s="4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40"/>
      <c r="W292" s="101"/>
      <c r="X292" s="101"/>
      <c r="Y292" s="101"/>
      <c r="Z292" s="40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</row>
    <row r="293" spans="1:38" ht="15.75">
      <c r="A293" s="333"/>
      <c r="B293" s="325"/>
      <c r="C293" s="101"/>
      <c r="D293" s="101"/>
      <c r="E293" s="101"/>
      <c r="F293" s="4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40"/>
      <c r="W293" s="101"/>
      <c r="X293" s="101"/>
      <c r="Y293" s="101"/>
      <c r="Z293" s="40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</row>
    <row r="294" spans="1:38" ht="15.75">
      <c r="A294" s="333"/>
      <c r="B294" s="325"/>
      <c r="C294" s="101"/>
      <c r="D294" s="101"/>
      <c r="E294" s="101"/>
      <c r="F294" s="4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40"/>
      <c r="W294" s="101"/>
      <c r="X294" s="101"/>
      <c r="Y294" s="101"/>
      <c r="Z294" s="40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</row>
    <row r="295" spans="1:38" ht="15.75">
      <c r="A295" s="333"/>
      <c r="B295" s="325"/>
      <c r="C295" s="101"/>
      <c r="D295" s="101"/>
      <c r="E295" s="101"/>
      <c r="F295" s="40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40"/>
      <c r="W295" s="101"/>
      <c r="X295" s="101"/>
      <c r="Y295" s="101"/>
      <c r="Z295" s="40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</row>
    <row r="296" spans="1:38" ht="15.75">
      <c r="A296" s="333"/>
      <c r="B296" s="325"/>
      <c r="C296" s="101"/>
      <c r="D296" s="101"/>
      <c r="E296" s="101"/>
      <c r="F296" s="4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40"/>
      <c r="W296" s="101"/>
      <c r="X296" s="101"/>
      <c r="Y296" s="101"/>
      <c r="Z296" s="40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</row>
    <row r="297" spans="1:38" ht="15.75">
      <c r="A297" s="333"/>
      <c r="B297" s="325"/>
      <c r="C297" s="101"/>
      <c r="D297" s="101"/>
      <c r="E297" s="101"/>
      <c r="F297" s="4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40"/>
      <c r="W297" s="101"/>
      <c r="X297" s="101"/>
      <c r="Y297" s="101"/>
      <c r="Z297" s="40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</row>
    <row r="298" spans="1:38" ht="15.75">
      <c r="A298" s="333"/>
      <c r="B298" s="325"/>
      <c r="C298" s="101"/>
      <c r="D298" s="101"/>
      <c r="E298" s="101"/>
      <c r="F298" s="4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40"/>
      <c r="W298" s="101"/>
      <c r="X298" s="101"/>
      <c r="Y298" s="101"/>
      <c r="Z298" s="40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</row>
    <row r="299" ht="15.75">
      <c r="A299" s="333"/>
    </row>
    <row r="300" ht="15.75">
      <c r="A300" s="333"/>
    </row>
  </sheetData>
  <sheetProtection/>
  <printOptions/>
  <pageMargins left="0" right="0" top="0.3937007874015748" bottom="0.1968503937007874" header="0.5118110236220472" footer="0.5118110236220472"/>
  <pageSetup fitToHeight="5" horizontalDpi="600" verticalDpi="600" orientation="landscape" paperSize="9" scale="51" r:id="rId1"/>
  <rowBreaks count="1" manualBreakCount="1">
    <brk id="85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314"/>
  <sheetViews>
    <sheetView showZeros="0" zoomScalePageLayoutView="0" workbookViewId="0" topLeftCell="E1">
      <selection activeCell="F16" sqref="F16"/>
    </sheetView>
  </sheetViews>
  <sheetFormatPr defaultColWidth="9.00390625" defaultRowHeight="12.75"/>
  <cols>
    <col min="1" max="1" width="35.75390625" style="163" customWidth="1"/>
    <col min="2" max="2" width="10.125" style="163" customWidth="1"/>
    <col min="3" max="3" width="10.75390625" style="0" customWidth="1"/>
    <col min="4" max="4" width="6.00390625" style="0" hidden="1" customWidth="1"/>
    <col min="5" max="5" width="8.25390625" style="0" customWidth="1"/>
    <col min="6" max="6" width="8.875" style="0" customWidth="1"/>
    <col min="7" max="7" width="8.00390625" style="0" customWidth="1"/>
    <col min="8" max="8" width="8.875" style="0" customWidth="1"/>
    <col min="9" max="10" width="9.00390625" style="0" customWidth="1"/>
    <col min="11" max="11" width="10.25390625" style="0" customWidth="1"/>
    <col min="12" max="12" width="9.00390625" style="0" customWidth="1"/>
    <col min="13" max="13" width="9.00390625" style="0" hidden="1" customWidth="1"/>
    <col min="14" max="15" width="10.125" style="0" hidden="1" customWidth="1"/>
    <col min="16" max="16" width="7.875" style="0" customWidth="1"/>
    <col min="17" max="17" width="8.625" style="0" customWidth="1"/>
    <col min="18" max="18" width="7.75390625" style="0" customWidth="1"/>
    <col min="19" max="19" width="7.875" style="0" customWidth="1"/>
    <col min="20" max="20" width="8.875" style="0" customWidth="1"/>
    <col min="21" max="21" width="8.75390625" style="0" customWidth="1"/>
  </cols>
  <sheetData>
    <row r="1" spans="1:17" s="136" customFormat="1" ht="15">
      <c r="A1" s="12"/>
      <c r="B1" s="12"/>
      <c r="Q1" s="12"/>
    </row>
    <row r="2" spans="1:17" s="136" customFormat="1" ht="15">
      <c r="A2" s="12"/>
      <c r="B2" s="12"/>
      <c r="Q2" s="4"/>
    </row>
    <row r="3" spans="1:17" s="136" customFormat="1" ht="15">
      <c r="A3" s="12"/>
      <c r="B3" s="12"/>
      <c r="Q3" s="4"/>
    </row>
    <row r="4" spans="1:17" s="136" customFormat="1" ht="15">
      <c r="A4" s="12"/>
      <c r="B4" s="12"/>
      <c r="Q4" s="6"/>
    </row>
    <row r="5" spans="1:9" s="136" customFormat="1" ht="18">
      <c r="A5" s="12"/>
      <c r="B5" s="12"/>
      <c r="I5" s="303" t="s">
        <v>247</v>
      </c>
    </row>
    <row r="6" spans="1:9" s="136" customFormat="1" ht="15.75">
      <c r="A6" s="234"/>
      <c r="B6" s="12"/>
      <c r="D6" s="135"/>
      <c r="I6" s="11" t="s">
        <v>336</v>
      </c>
    </row>
    <row r="7" spans="1:9" s="136" customFormat="1" ht="15">
      <c r="A7" s="12"/>
      <c r="B7" s="12"/>
      <c r="I7" s="304" t="s">
        <v>266</v>
      </c>
    </row>
    <row r="8" spans="1:21" s="136" customFormat="1" ht="15.75">
      <c r="A8" s="12"/>
      <c r="B8" s="12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</row>
    <row r="9" spans="1:21" s="185" customFormat="1" ht="15.75">
      <c r="A9" s="167"/>
      <c r="B9" s="167">
        <v>210</v>
      </c>
      <c r="C9" s="166">
        <v>211</v>
      </c>
      <c r="D9" s="166">
        <v>212</v>
      </c>
      <c r="E9" s="166">
        <v>213</v>
      </c>
      <c r="F9" s="235">
        <v>220</v>
      </c>
      <c r="G9" s="166">
        <v>221</v>
      </c>
      <c r="H9" s="166">
        <v>222</v>
      </c>
      <c r="I9" s="166">
        <v>223</v>
      </c>
      <c r="J9" s="166">
        <v>224</v>
      </c>
      <c r="K9" s="166">
        <v>225</v>
      </c>
      <c r="L9" s="166">
        <v>226</v>
      </c>
      <c r="M9" s="167">
        <v>240</v>
      </c>
      <c r="N9" s="166">
        <v>241</v>
      </c>
      <c r="O9" s="166">
        <v>242</v>
      </c>
      <c r="P9" s="167">
        <v>262</v>
      </c>
      <c r="Q9" s="235">
        <v>290</v>
      </c>
      <c r="R9" s="236">
        <v>300</v>
      </c>
      <c r="S9" s="166">
        <v>310</v>
      </c>
      <c r="T9" s="166">
        <v>340</v>
      </c>
      <c r="U9" s="166"/>
    </row>
    <row r="10" spans="1:21" s="239" customFormat="1" ht="87" customHeight="1">
      <c r="A10" s="167"/>
      <c r="B10" s="237" t="s">
        <v>128</v>
      </c>
      <c r="C10" s="238" t="s">
        <v>727</v>
      </c>
      <c r="D10" s="238" t="s">
        <v>130</v>
      </c>
      <c r="E10" s="238" t="s">
        <v>728</v>
      </c>
      <c r="F10" s="237" t="s">
        <v>734</v>
      </c>
      <c r="G10" s="238" t="s">
        <v>132</v>
      </c>
      <c r="H10" s="238" t="s">
        <v>133</v>
      </c>
      <c r="I10" s="238" t="s">
        <v>134</v>
      </c>
      <c r="J10" s="238" t="s">
        <v>135</v>
      </c>
      <c r="K10" s="238" t="s">
        <v>735</v>
      </c>
      <c r="L10" s="238" t="s">
        <v>736</v>
      </c>
      <c r="M10" s="238" t="s">
        <v>226</v>
      </c>
      <c r="N10" s="238" t="s">
        <v>227</v>
      </c>
      <c r="O10" s="238" t="s">
        <v>228</v>
      </c>
      <c r="P10" s="238" t="s">
        <v>229</v>
      </c>
      <c r="Q10" s="238" t="s">
        <v>140</v>
      </c>
      <c r="R10" s="237" t="s">
        <v>141</v>
      </c>
      <c r="S10" s="238" t="s">
        <v>142</v>
      </c>
      <c r="T10" s="238" t="s">
        <v>143</v>
      </c>
      <c r="U10" s="238" t="s">
        <v>634</v>
      </c>
    </row>
    <row r="11" spans="1:21" s="162" customFormat="1" ht="15.75">
      <c r="A11" s="167" t="s">
        <v>236</v>
      </c>
      <c r="B11" s="240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40"/>
      <c r="S11" s="205"/>
      <c r="T11" s="205"/>
      <c r="U11" s="241"/>
    </row>
    <row r="12" spans="1:21" s="162" customFormat="1" ht="15.75">
      <c r="A12" s="167" t="s">
        <v>464</v>
      </c>
      <c r="B12" s="246">
        <f>SUM(C12:E12)</f>
        <v>0</v>
      </c>
      <c r="C12" s="205">
        <v>0</v>
      </c>
      <c r="D12" s="205"/>
      <c r="E12" s="205">
        <v>0</v>
      </c>
      <c r="F12" s="205">
        <f>SUM(G12:L12)</f>
        <v>14</v>
      </c>
      <c r="G12" s="205"/>
      <c r="H12" s="205"/>
      <c r="I12" s="205"/>
      <c r="J12" s="205"/>
      <c r="K12" s="205"/>
      <c r="L12" s="205">
        <v>14</v>
      </c>
      <c r="M12" s="205">
        <f>SUM(N12:O12)</f>
        <v>0</v>
      </c>
      <c r="N12" s="205"/>
      <c r="O12" s="205"/>
      <c r="P12" s="205"/>
      <c r="Q12" s="205">
        <v>10</v>
      </c>
      <c r="R12" s="241">
        <f>SUM(S12:T12)</f>
        <v>26</v>
      </c>
      <c r="S12" s="205">
        <v>10</v>
      </c>
      <c r="T12" s="205">
        <v>16</v>
      </c>
      <c r="U12" s="241">
        <f>SUM(B12+P12+F12+Q12+R12)</f>
        <v>50</v>
      </c>
    </row>
    <row r="13" spans="1:22" s="244" customFormat="1" ht="16.5" customHeight="1">
      <c r="A13" s="242" t="s">
        <v>235</v>
      </c>
      <c r="B13" s="228">
        <f>SUM(B12)</f>
        <v>0</v>
      </c>
      <c r="C13" s="228">
        <f aca="true" t="shared" si="0" ref="C13:U13">SUM(C12)</f>
        <v>0</v>
      </c>
      <c r="D13" s="228">
        <f t="shared" si="0"/>
        <v>0</v>
      </c>
      <c r="E13" s="228">
        <f t="shared" si="0"/>
        <v>0</v>
      </c>
      <c r="F13" s="228">
        <f t="shared" si="0"/>
        <v>14</v>
      </c>
      <c r="G13" s="228">
        <f t="shared" si="0"/>
        <v>0</v>
      </c>
      <c r="H13" s="228">
        <f t="shared" si="0"/>
        <v>0</v>
      </c>
      <c r="I13" s="228">
        <f t="shared" si="0"/>
        <v>0</v>
      </c>
      <c r="J13" s="228">
        <f t="shared" si="0"/>
        <v>0</v>
      </c>
      <c r="K13" s="228">
        <f t="shared" si="0"/>
        <v>0</v>
      </c>
      <c r="L13" s="228">
        <f t="shared" si="0"/>
        <v>14</v>
      </c>
      <c r="M13" s="228">
        <f t="shared" si="0"/>
        <v>0</v>
      </c>
      <c r="N13" s="228">
        <f t="shared" si="0"/>
        <v>0</v>
      </c>
      <c r="O13" s="228">
        <f t="shared" si="0"/>
        <v>0</v>
      </c>
      <c r="P13" s="228">
        <f t="shared" si="0"/>
        <v>0</v>
      </c>
      <c r="Q13" s="228">
        <f t="shared" si="0"/>
        <v>10</v>
      </c>
      <c r="R13" s="228">
        <f t="shared" si="0"/>
        <v>26</v>
      </c>
      <c r="S13" s="228">
        <f t="shared" si="0"/>
        <v>10</v>
      </c>
      <c r="T13" s="228">
        <f t="shared" si="0"/>
        <v>16</v>
      </c>
      <c r="U13" s="228">
        <f t="shared" si="0"/>
        <v>50</v>
      </c>
      <c r="V13" s="243"/>
    </row>
    <row r="14" spans="1:21" s="185" customFormat="1" ht="15">
      <c r="A14" s="163"/>
      <c r="B14" s="163"/>
      <c r="U14" s="245"/>
    </row>
    <row r="15" spans="1:5" s="185" customFormat="1" ht="15">
      <c r="A15" s="163"/>
      <c r="B15" s="163"/>
      <c r="C15" s="185" t="s">
        <v>687</v>
      </c>
      <c r="E15" s="163"/>
    </row>
    <row r="16" spans="1:2" s="185" customFormat="1" ht="15">
      <c r="A16" s="163"/>
      <c r="B16" s="163"/>
    </row>
    <row r="17" spans="1:2" s="185" customFormat="1" ht="15">
      <c r="A17" s="163"/>
      <c r="B17" s="163"/>
    </row>
    <row r="18" spans="1:2" s="185" customFormat="1" ht="15">
      <c r="A18" s="163"/>
      <c r="B18" s="163"/>
    </row>
    <row r="19" spans="1:2" s="185" customFormat="1" ht="15">
      <c r="A19" s="163"/>
      <c r="B19" s="163"/>
    </row>
    <row r="20" spans="1:2" s="185" customFormat="1" ht="15">
      <c r="A20" s="163"/>
      <c r="B20" s="163"/>
    </row>
    <row r="21" spans="1:2" s="185" customFormat="1" ht="15">
      <c r="A21" s="163"/>
      <c r="B21" s="163"/>
    </row>
    <row r="22" spans="1:2" s="185" customFormat="1" ht="15">
      <c r="A22" s="163"/>
      <c r="B22" s="163"/>
    </row>
    <row r="23" spans="1:2" s="185" customFormat="1" ht="15">
      <c r="A23" s="163"/>
      <c r="B23" s="163"/>
    </row>
    <row r="24" spans="1:2" s="185" customFormat="1" ht="15">
      <c r="A24" s="163"/>
      <c r="B24" s="163"/>
    </row>
    <row r="25" spans="1:2" s="185" customFormat="1" ht="15">
      <c r="A25" s="163"/>
      <c r="B25" s="163"/>
    </row>
    <row r="26" spans="1:2" s="185" customFormat="1" ht="15">
      <c r="A26" s="163"/>
      <c r="B26" s="163"/>
    </row>
    <row r="27" spans="1:2" s="185" customFormat="1" ht="15">
      <c r="A27" s="163"/>
      <c r="B27" s="163"/>
    </row>
    <row r="28" spans="1:2" s="185" customFormat="1" ht="15">
      <c r="A28" s="163"/>
      <c r="B28" s="163"/>
    </row>
    <row r="29" spans="1:2" s="185" customFormat="1" ht="15">
      <c r="A29" s="163"/>
      <c r="B29" s="163"/>
    </row>
    <row r="30" spans="1:2" s="185" customFormat="1" ht="15">
      <c r="A30" s="163"/>
      <c r="B30" s="163"/>
    </row>
    <row r="31" spans="1:2" s="185" customFormat="1" ht="15">
      <c r="A31" s="163"/>
      <c r="B31" s="163"/>
    </row>
    <row r="32" spans="1:2" s="185" customFormat="1" ht="15">
      <c r="A32" s="163"/>
      <c r="B32" s="163"/>
    </row>
    <row r="33" spans="1:2" s="185" customFormat="1" ht="15">
      <c r="A33" s="163"/>
      <c r="B33" s="163"/>
    </row>
    <row r="34" spans="1:2" s="185" customFormat="1" ht="15">
      <c r="A34" s="163"/>
      <c r="B34" s="163"/>
    </row>
    <row r="35" spans="1:2" s="185" customFormat="1" ht="15">
      <c r="A35" s="163"/>
      <c r="B35" s="163"/>
    </row>
    <row r="36" spans="1:2" s="185" customFormat="1" ht="15">
      <c r="A36" s="163"/>
      <c r="B36" s="163"/>
    </row>
    <row r="37" spans="1:2" s="185" customFormat="1" ht="15">
      <c r="A37" s="163"/>
      <c r="B37" s="163"/>
    </row>
    <row r="38" spans="1:2" s="185" customFormat="1" ht="15">
      <c r="A38" s="163"/>
      <c r="B38" s="163"/>
    </row>
    <row r="39" spans="1:2" s="185" customFormat="1" ht="15">
      <c r="A39" s="163"/>
      <c r="B39" s="163"/>
    </row>
    <row r="40" spans="1:2" s="185" customFormat="1" ht="15">
      <c r="A40" s="163"/>
      <c r="B40" s="163"/>
    </row>
    <row r="41" spans="1:2" s="185" customFormat="1" ht="15">
      <c r="A41" s="163"/>
      <c r="B41" s="163"/>
    </row>
    <row r="42" spans="1:2" s="185" customFormat="1" ht="15">
      <c r="A42" s="163"/>
      <c r="B42" s="163"/>
    </row>
    <row r="43" spans="1:2" s="185" customFormat="1" ht="15">
      <c r="A43" s="163"/>
      <c r="B43" s="163"/>
    </row>
    <row r="44" spans="1:2" s="185" customFormat="1" ht="15">
      <c r="A44" s="163"/>
      <c r="B44" s="163"/>
    </row>
    <row r="45" spans="1:2" s="185" customFormat="1" ht="15">
      <c r="A45" s="163"/>
      <c r="B45" s="163"/>
    </row>
    <row r="46" spans="1:2" s="185" customFormat="1" ht="15">
      <c r="A46" s="163"/>
      <c r="B46" s="163"/>
    </row>
    <row r="47" spans="1:2" s="185" customFormat="1" ht="15">
      <c r="A47" s="163"/>
      <c r="B47" s="163"/>
    </row>
    <row r="48" spans="1:2" s="185" customFormat="1" ht="15">
      <c r="A48" s="163"/>
      <c r="B48" s="163"/>
    </row>
    <row r="49" spans="1:2" s="185" customFormat="1" ht="15">
      <c r="A49" s="163"/>
      <c r="B49" s="163"/>
    </row>
    <row r="50" spans="1:2" s="185" customFormat="1" ht="15">
      <c r="A50" s="163"/>
      <c r="B50" s="163"/>
    </row>
    <row r="51" spans="1:2" s="185" customFormat="1" ht="15">
      <c r="A51" s="163"/>
      <c r="B51" s="163"/>
    </row>
    <row r="52" spans="1:2" s="185" customFormat="1" ht="15">
      <c r="A52" s="163"/>
      <c r="B52" s="163"/>
    </row>
    <row r="53" spans="1:2" s="185" customFormat="1" ht="15">
      <c r="A53" s="163"/>
      <c r="B53" s="163"/>
    </row>
    <row r="54" spans="1:2" s="185" customFormat="1" ht="15">
      <c r="A54" s="163"/>
      <c r="B54" s="163"/>
    </row>
    <row r="55" spans="1:2" s="185" customFormat="1" ht="15">
      <c r="A55" s="163"/>
      <c r="B55" s="163"/>
    </row>
    <row r="56" spans="1:2" s="185" customFormat="1" ht="15">
      <c r="A56" s="163"/>
      <c r="B56" s="163"/>
    </row>
    <row r="57" spans="1:2" s="185" customFormat="1" ht="15">
      <c r="A57" s="163"/>
      <c r="B57" s="163"/>
    </row>
    <row r="58" spans="1:2" s="185" customFormat="1" ht="15">
      <c r="A58" s="163"/>
      <c r="B58" s="163"/>
    </row>
    <row r="59" spans="1:2" s="185" customFormat="1" ht="15">
      <c r="A59" s="163"/>
      <c r="B59" s="163"/>
    </row>
    <row r="60" spans="1:2" s="185" customFormat="1" ht="15">
      <c r="A60" s="163"/>
      <c r="B60" s="163"/>
    </row>
    <row r="61" spans="1:2" s="185" customFormat="1" ht="15">
      <c r="A61" s="163"/>
      <c r="B61" s="163"/>
    </row>
    <row r="62" spans="1:2" s="185" customFormat="1" ht="15">
      <c r="A62" s="163"/>
      <c r="B62" s="163"/>
    </row>
    <row r="63" spans="1:2" s="185" customFormat="1" ht="15">
      <c r="A63" s="163"/>
      <c r="B63" s="163"/>
    </row>
    <row r="64" spans="1:2" s="185" customFormat="1" ht="15">
      <c r="A64" s="163"/>
      <c r="B64" s="163"/>
    </row>
    <row r="65" spans="1:2" s="185" customFormat="1" ht="15">
      <c r="A65" s="163"/>
      <c r="B65" s="163"/>
    </row>
    <row r="66" spans="1:2" s="185" customFormat="1" ht="15">
      <c r="A66" s="163"/>
      <c r="B66" s="163"/>
    </row>
    <row r="67" spans="1:2" s="185" customFormat="1" ht="15">
      <c r="A67" s="163"/>
      <c r="B67" s="163"/>
    </row>
    <row r="68" spans="1:2" s="185" customFormat="1" ht="15">
      <c r="A68" s="163"/>
      <c r="B68" s="163"/>
    </row>
    <row r="69" spans="1:2" s="185" customFormat="1" ht="15">
      <c r="A69" s="163"/>
      <c r="B69" s="163"/>
    </row>
    <row r="70" spans="1:2" s="185" customFormat="1" ht="15">
      <c r="A70" s="163"/>
      <c r="B70" s="163"/>
    </row>
    <row r="71" spans="1:2" s="185" customFormat="1" ht="15">
      <c r="A71" s="163"/>
      <c r="B71" s="163"/>
    </row>
    <row r="72" spans="1:2" s="185" customFormat="1" ht="15">
      <c r="A72" s="163"/>
      <c r="B72" s="163"/>
    </row>
    <row r="73" spans="1:2" s="185" customFormat="1" ht="15">
      <c r="A73" s="163"/>
      <c r="B73" s="163"/>
    </row>
    <row r="74" spans="1:2" s="185" customFormat="1" ht="15">
      <c r="A74" s="163"/>
      <c r="B74" s="163"/>
    </row>
    <row r="75" spans="1:2" s="185" customFormat="1" ht="15">
      <c r="A75" s="163"/>
      <c r="B75" s="163"/>
    </row>
    <row r="76" spans="1:2" s="185" customFormat="1" ht="15">
      <c r="A76" s="163"/>
      <c r="B76" s="163"/>
    </row>
    <row r="77" spans="1:2" s="185" customFormat="1" ht="15">
      <c r="A77" s="163"/>
      <c r="B77" s="163"/>
    </row>
    <row r="78" spans="1:2" s="185" customFormat="1" ht="15">
      <c r="A78" s="163"/>
      <c r="B78" s="163"/>
    </row>
    <row r="79" spans="1:2" s="185" customFormat="1" ht="15">
      <c r="A79" s="163"/>
      <c r="B79" s="163"/>
    </row>
    <row r="80" spans="1:2" s="185" customFormat="1" ht="15">
      <c r="A80" s="163"/>
      <c r="B80" s="163"/>
    </row>
    <row r="81" spans="1:2" s="185" customFormat="1" ht="15">
      <c r="A81" s="163"/>
      <c r="B81" s="163"/>
    </row>
    <row r="82" spans="1:2" s="185" customFormat="1" ht="15">
      <c r="A82" s="163"/>
      <c r="B82" s="163"/>
    </row>
    <row r="83" spans="1:2" s="185" customFormat="1" ht="15">
      <c r="A83" s="163"/>
      <c r="B83" s="163"/>
    </row>
    <row r="84" spans="1:2" s="185" customFormat="1" ht="15">
      <c r="A84" s="163"/>
      <c r="B84" s="163"/>
    </row>
    <row r="85" spans="1:2" s="185" customFormat="1" ht="15">
      <c r="A85" s="163"/>
      <c r="B85" s="163"/>
    </row>
    <row r="86" spans="1:2" s="185" customFormat="1" ht="15">
      <c r="A86" s="163"/>
      <c r="B86" s="163"/>
    </row>
    <row r="87" spans="1:2" s="185" customFormat="1" ht="15">
      <c r="A87" s="163"/>
      <c r="B87" s="163"/>
    </row>
    <row r="88" spans="1:2" s="185" customFormat="1" ht="15">
      <c r="A88" s="163"/>
      <c r="B88" s="163"/>
    </row>
    <row r="89" spans="1:2" s="185" customFormat="1" ht="15">
      <c r="A89" s="163"/>
      <c r="B89" s="163"/>
    </row>
    <row r="90" spans="1:2" s="185" customFormat="1" ht="15">
      <c r="A90" s="163"/>
      <c r="B90" s="163"/>
    </row>
    <row r="91" spans="1:2" s="185" customFormat="1" ht="15">
      <c r="A91" s="163"/>
      <c r="B91" s="163"/>
    </row>
    <row r="92" spans="1:2" s="185" customFormat="1" ht="15">
      <c r="A92" s="163"/>
      <c r="B92" s="163"/>
    </row>
    <row r="93" spans="1:2" s="185" customFormat="1" ht="15">
      <c r="A93" s="163"/>
      <c r="B93" s="163"/>
    </row>
    <row r="94" spans="1:2" s="185" customFormat="1" ht="15">
      <c r="A94" s="163"/>
      <c r="B94" s="163"/>
    </row>
    <row r="95" spans="1:2" s="185" customFormat="1" ht="15">
      <c r="A95" s="163"/>
      <c r="B95" s="163"/>
    </row>
    <row r="96" spans="1:2" s="185" customFormat="1" ht="15">
      <c r="A96" s="163"/>
      <c r="B96" s="163"/>
    </row>
    <row r="97" spans="1:2" s="185" customFormat="1" ht="15">
      <c r="A97" s="163"/>
      <c r="B97" s="163"/>
    </row>
    <row r="98" spans="1:2" s="185" customFormat="1" ht="15">
      <c r="A98" s="163"/>
      <c r="B98" s="163"/>
    </row>
    <row r="99" spans="1:2" s="185" customFormat="1" ht="15">
      <c r="A99" s="163"/>
      <c r="B99" s="163"/>
    </row>
    <row r="100" spans="1:2" s="185" customFormat="1" ht="15">
      <c r="A100" s="163"/>
      <c r="B100" s="163"/>
    </row>
    <row r="101" spans="1:2" s="185" customFormat="1" ht="15">
      <c r="A101" s="163"/>
      <c r="B101" s="163"/>
    </row>
    <row r="102" spans="1:2" s="185" customFormat="1" ht="15">
      <c r="A102" s="163"/>
      <c r="B102" s="163"/>
    </row>
    <row r="103" spans="1:2" s="185" customFormat="1" ht="15">
      <c r="A103" s="163"/>
      <c r="B103" s="163"/>
    </row>
    <row r="104" spans="1:2" s="185" customFormat="1" ht="15">
      <c r="A104" s="163"/>
      <c r="B104" s="163"/>
    </row>
    <row r="105" spans="1:2" s="185" customFormat="1" ht="15">
      <c r="A105" s="163"/>
      <c r="B105" s="163"/>
    </row>
    <row r="106" spans="1:2" s="185" customFormat="1" ht="15">
      <c r="A106" s="163"/>
      <c r="B106" s="163"/>
    </row>
    <row r="107" spans="1:2" s="185" customFormat="1" ht="15">
      <c r="A107" s="163"/>
      <c r="B107" s="163"/>
    </row>
    <row r="108" spans="1:2" s="185" customFormat="1" ht="15">
      <c r="A108" s="163"/>
      <c r="B108" s="163"/>
    </row>
    <row r="109" spans="1:2" s="185" customFormat="1" ht="15">
      <c r="A109" s="163"/>
      <c r="B109" s="163"/>
    </row>
    <row r="110" spans="1:2" s="185" customFormat="1" ht="15">
      <c r="A110" s="163"/>
      <c r="B110" s="163"/>
    </row>
    <row r="111" spans="1:2" s="185" customFormat="1" ht="15">
      <c r="A111" s="163"/>
      <c r="B111" s="163"/>
    </row>
    <row r="112" spans="1:2" s="185" customFormat="1" ht="15">
      <c r="A112" s="163"/>
      <c r="B112" s="163"/>
    </row>
    <row r="113" spans="1:2" s="185" customFormat="1" ht="15">
      <c r="A113" s="163"/>
      <c r="B113" s="163"/>
    </row>
    <row r="114" spans="1:2" s="185" customFormat="1" ht="15">
      <c r="A114" s="163"/>
      <c r="B114" s="163"/>
    </row>
    <row r="115" spans="1:2" s="185" customFormat="1" ht="15">
      <c r="A115" s="163"/>
      <c r="B115" s="163"/>
    </row>
    <row r="116" spans="1:2" s="185" customFormat="1" ht="15">
      <c r="A116" s="163"/>
      <c r="B116" s="163"/>
    </row>
    <row r="117" spans="1:2" s="185" customFormat="1" ht="15">
      <c r="A117" s="163"/>
      <c r="B117" s="163"/>
    </row>
    <row r="118" spans="1:2" s="185" customFormat="1" ht="15">
      <c r="A118" s="163"/>
      <c r="B118" s="163"/>
    </row>
    <row r="119" spans="1:2" s="185" customFormat="1" ht="15">
      <c r="A119" s="163"/>
      <c r="B119" s="163"/>
    </row>
    <row r="120" spans="1:2" s="185" customFormat="1" ht="15">
      <c r="A120" s="163"/>
      <c r="B120" s="163"/>
    </row>
    <row r="121" spans="1:2" s="185" customFormat="1" ht="15">
      <c r="A121" s="163"/>
      <c r="B121" s="163"/>
    </row>
    <row r="122" spans="1:2" s="185" customFormat="1" ht="15">
      <c r="A122" s="163"/>
      <c r="B122" s="163"/>
    </row>
    <row r="123" spans="1:2" s="185" customFormat="1" ht="15">
      <c r="A123" s="163"/>
      <c r="B123" s="163"/>
    </row>
    <row r="124" spans="1:2" s="185" customFormat="1" ht="15">
      <c r="A124" s="163"/>
      <c r="B124" s="163"/>
    </row>
    <row r="125" spans="1:2" s="185" customFormat="1" ht="15">
      <c r="A125" s="163"/>
      <c r="B125" s="163"/>
    </row>
    <row r="126" spans="1:2" s="185" customFormat="1" ht="15">
      <c r="A126" s="163"/>
      <c r="B126" s="163"/>
    </row>
    <row r="127" spans="1:2" s="185" customFormat="1" ht="15">
      <c r="A127" s="163"/>
      <c r="B127" s="163"/>
    </row>
    <row r="128" spans="1:2" s="185" customFormat="1" ht="15">
      <c r="A128" s="163"/>
      <c r="B128" s="163"/>
    </row>
    <row r="129" spans="1:2" s="185" customFormat="1" ht="15">
      <c r="A129" s="163"/>
      <c r="B129" s="163"/>
    </row>
    <row r="130" spans="1:2" s="185" customFormat="1" ht="15">
      <c r="A130" s="163"/>
      <c r="B130" s="163"/>
    </row>
    <row r="131" spans="1:2" s="185" customFormat="1" ht="15">
      <c r="A131" s="163"/>
      <c r="B131" s="163"/>
    </row>
    <row r="132" spans="1:2" s="185" customFormat="1" ht="15">
      <c r="A132" s="163"/>
      <c r="B132" s="163"/>
    </row>
    <row r="133" spans="1:2" s="185" customFormat="1" ht="15">
      <c r="A133" s="163"/>
      <c r="B133" s="163"/>
    </row>
    <row r="134" spans="1:2" s="185" customFormat="1" ht="15">
      <c r="A134" s="163"/>
      <c r="B134" s="163"/>
    </row>
    <row r="135" spans="1:2" s="185" customFormat="1" ht="15">
      <c r="A135" s="163"/>
      <c r="B135" s="163"/>
    </row>
    <row r="136" spans="1:2" s="185" customFormat="1" ht="15">
      <c r="A136" s="163"/>
      <c r="B136" s="163"/>
    </row>
    <row r="137" spans="1:2" s="185" customFormat="1" ht="15">
      <c r="A137" s="163"/>
      <c r="B137" s="163"/>
    </row>
    <row r="138" spans="1:2" s="185" customFormat="1" ht="15">
      <c r="A138" s="163"/>
      <c r="B138" s="163"/>
    </row>
    <row r="139" spans="1:2" s="185" customFormat="1" ht="15">
      <c r="A139" s="163"/>
      <c r="B139" s="163"/>
    </row>
    <row r="140" spans="1:2" s="185" customFormat="1" ht="15">
      <c r="A140" s="163"/>
      <c r="B140" s="163"/>
    </row>
    <row r="141" spans="1:2" s="185" customFormat="1" ht="15">
      <c r="A141" s="163"/>
      <c r="B141" s="163"/>
    </row>
    <row r="142" spans="1:2" s="185" customFormat="1" ht="15">
      <c r="A142" s="163"/>
      <c r="B142" s="163"/>
    </row>
    <row r="143" spans="1:2" s="185" customFormat="1" ht="15">
      <c r="A143" s="163"/>
      <c r="B143" s="163"/>
    </row>
    <row r="144" spans="1:2" s="185" customFormat="1" ht="15">
      <c r="A144" s="163"/>
      <c r="B144" s="163"/>
    </row>
    <row r="145" spans="1:2" s="185" customFormat="1" ht="15">
      <c r="A145" s="163"/>
      <c r="B145" s="163"/>
    </row>
    <row r="146" spans="1:2" s="185" customFormat="1" ht="15">
      <c r="A146" s="163"/>
      <c r="B146" s="163"/>
    </row>
    <row r="147" spans="1:2" s="185" customFormat="1" ht="15">
      <c r="A147" s="163"/>
      <c r="B147" s="163"/>
    </row>
    <row r="148" spans="1:2" s="185" customFormat="1" ht="15">
      <c r="A148" s="163"/>
      <c r="B148" s="163"/>
    </row>
    <row r="149" spans="1:2" s="185" customFormat="1" ht="15">
      <c r="A149" s="163"/>
      <c r="B149" s="163"/>
    </row>
    <row r="150" spans="1:2" s="185" customFormat="1" ht="15">
      <c r="A150" s="163"/>
      <c r="B150" s="163"/>
    </row>
    <row r="151" spans="1:2" s="185" customFormat="1" ht="15">
      <c r="A151" s="163"/>
      <c r="B151" s="163"/>
    </row>
    <row r="152" spans="1:2" s="185" customFormat="1" ht="15">
      <c r="A152" s="163"/>
      <c r="B152" s="163"/>
    </row>
    <row r="153" spans="1:2" s="185" customFormat="1" ht="15">
      <c r="A153" s="163"/>
      <c r="B153" s="163"/>
    </row>
    <row r="154" spans="1:2" s="185" customFormat="1" ht="15">
      <c r="A154" s="163"/>
      <c r="B154" s="163"/>
    </row>
    <row r="155" spans="1:2" s="185" customFormat="1" ht="15">
      <c r="A155" s="163"/>
      <c r="B155" s="163"/>
    </row>
    <row r="156" spans="1:2" s="185" customFormat="1" ht="15">
      <c r="A156" s="163"/>
      <c r="B156" s="163"/>
    </row>
    <row r="157" spans="1:2" s="185" customFormat="1" ht="15">
      <c r="A157" s="163"/>
      <c r="B157" s="163"/>
    </row>
    <row r="158" spans="1:2" s="185" customFormat="1" ht="15">
      <c r="A158" s="163"/>
      <c r="B158" s="163"/>
    </row>
    <row r="159" spans="1:2" s="185" customFormat="1" ht="15">
      <c r="A159" s="163"/>
      <c r="B159" s="163"/>
    </row>
    <row r="160" spans="1:2" s="185" customFormat="1" ht="15">
      <c r="A160" s="163"/>
      <c r="B160" s="163"/>
    </row>
    <row r="161" spans="1:2" s="185" customFormat="1" ht="15">
      <c r="A161" s="163"/>
      <c r="B161" s="163"/>
    </row>
    <row r="162" spans="1:2" s="185" customFormat="1" ht="15">
      <c r="A162" s="163"/>
      <c r="B162" s="163"/>
    </row>
    <row r="163" spans="1:2" s="185" customFormat="1" ht="15">
      <c r="A163" s="163"/>
      <c r="B163" s="163"/>
    </row>
    <row r="164" spans="1:2" s="185" customFormat="1" ht="15">
      <c r="A164" s="163"/>
      <c r="B164" s="163"/>
    </row>
    <row r="165" spans="1:2" s="185" customFormat="1" ht="15">
      <c r="A165" s="163"/>
      <c r="B165" s="163"/>
    </row>
    <row r="166" spans="1:2" s="185" customFormat="1" ht="15">
      <c r="A166" s="163"/>
      <c r="B166" s="163"/>
    </row>
    <row r="167" spans="1:2" s="185" customFormat="1" ht="15">
      <c r="A167" s="163"/>
      <c r="B167" s="163"/>
    </row>
    <row r="168" spans="1:2" s="185" customFormat="1" ht="15">
      <c r="A168" s="163"/>
      <c r="B168" s="163"/>
    </row>
    <row r="169" spans="1:2" s="185" customFormat="1" ht="15">
      <c r="A169" s="163"/>
      <c r="B169" s="163"/>
    </row>
    <row r="170" spans="1:2" s="185" customFormat="1" ht="15">
      <c r="A170" s="163"/>
      <c r="B170" s="163"/>
    </row>
    <row r="171" spans="1:2" s="185" customFormat="1" ht="15">
      <c r="A171" s="163"/>
      <c r="B171" s="163"/>
    </row>
    <row r="172" spans="1:2" s="185" customFormat="1" ht="15">
      <c r="A172" s="163"/>
      <c r="B172" s="163"/>
    </row>
    <row r="173" spans="1:2" s="185" customFormat="1" ht="15">
      <c r="A173" s="163"/>
      <c r="B173" s="163"/>
    </row>
    <row r="174" spans="1:2" s="185" customFormat="1" ht="15">
      <c r="A174" s="163"/>
      <c r="B174" s="163"/>
    </row>
    <row r="175" spans="1:2" s="185" customFormat="1" ht="15">
      <c r="A175" s="163"/>
      <c r="B175" s="163"/>
    </row>
    <row r="176" spans="1:2" s="185" customFormat="1" ht="15">
      <c r="A176" s="163"/>
      <c r="B176" s="163"/>
    </row>
    <row r="177" spans="1:2" s="185" customFormat="1" ht="15">
      <c r="A177" s="163"/>
      <c r="B177" s="163"/>
    </row>
    <row r="178" spans="1:2" s="185" customFormat="1" ht="15">
      <c r="A178" s="163"/>
      <c r="B178" s="163"/>
    </row>
    <row r="179" spans="1:2" s="185" customFormat="1" ht="15">
      <c r="A179" s="163"/>
      <c r="B179" s="163"/>
    </row>
    <row r="180" spans="1:2" s="185" customFormat="1" ht="15">
      <c r="A180" s="163"/>
      <c r="B180" s="163"/>
    </row>
    <row r="181" spans="1:2" s="185" customFormat="1" ht="15">
      <c r="A181" s="163"/>
      <c r="B181" s="163"/>
    </row>
    <row r="182" spans="1:2" s="185" customFormat="1" ht="15">
      <c r="A182" s="163"/>
      <c r="B182" s="163"/>
    </row>
    <row r="183" spans="1:2" s="185" customFormat="1" ht="15">
      <c r="A183" s="163"/>
      <c r="B183" s="163"/>
    </row>
    <row r="184" spans="1:2" s="185" customFormat="1" ht="15">
      <c r="A184" s="163"/>
      <c r="B184" s="163"/>
    </row>
    <row r="185" spans="1:2" s="185" customFormat="1" ht="15">
      <c r="A185" s="163"/>
      <c r="B185" s="163"/>
    </row>
    <row r="186" spans="1:2" s="185" customFormat="1" ht="15">
      <c r="A186" s="163"/>
      <c r="B186" s="163"/>
    </row>
    <row r="187" spans="1:2" s="185" customFormat="1" ht="15">
      <c r="A187" s="163"/>
      <c r="B187" s="163"/>
    </row>
    <row r="188" spans="1:2" s="185" customFormat="1" ht="15">
      <c r="A188" s="163"/>
      <c r="B188" s="163"/>
    </row>
    <row r="189" spans="1:2" s="185" customFormat="1" ht="15">
      <c r="A189" s="163"/>
      <c r="B189" s="163"/>
    </row>
    <row r="190" spans="1:2" s="185" customFormat="1" ht="15">
      <c r="A190" s="163"/>
      <c r="B190" s="163"/>
    </row>
    <row r="191" spans="1:2" s="185" customFormat="1" ht="15">
      <c r="A191" s="163"/>
      <c r="B191" s="163"/>
    </row>
    <row r="192" spans="1:2" s="185" customFormat="1" ht="15">
      <c r="A192" s="163"/>
      <c r="B192" s="163"/>
    </row>
    <row r="193" spans="1:2" s="185" customFormat="1" ht="15">
      <c r="A193" s="163"/>
      <c r="B193" s="163"/>
    </row>
    <row r="194" spans="1:2" s="185" customFormat="1" ht="15">
      <c r="A194" s="163"/>
      <c r="B194" s="163"/>
    </row>
    <row r="195" spans="1:2" s="185" customFormat="1" ht="15">
      <c r="A195" s="163"/>
      <c r="B195" s="163"/>
    </row>
    <row r="196" spans="1:2" s="185" customFormat="1" ht="15">
      <c r="A196" s="163"/>
      <c r="B196" s="163"/>
    </row>
    <row r="197" spans="1:2" s="185" customFormat="1" ht="15">
      <c r="A197" s="163"/>
      <c r="B197" s="163"/>
    </row>
    <row r="198" spans="1:2" s="185" customFormat="1" ht="15">
      <c r="A198" s="163"/>
      <c r="B198" s="163"/>
    </row>
    <row r="199" spans="1:2" s="185" customFormat="1" ht="15">
      <c r="A199" s="163"/>
      <c r="B199" s="163"/>
    </row>
    <row r="200" spans="1:2" s="185" customFormat="1" ht="15">
      <c r="A200" s="163"/>
      <c r="B200" s="163"/>
    </row>
    <row r="201" spans="1:2" s="185" customFormat="1" ht="15">
      <c r="A201" s="163"/>
      <c r="B201" s="163"/>
    </row>
    <row r="202" spans="1:2" s="185" customFormat="1" ht="15">
      <c r="A202" s="163"/>
      <c r="B202" s="163"/>
    </row>
    <row r="203" spans="1:2" s="185" customFormat="1" ht="15">
      <c r="A203" s="163"/>
      <c r="B203" s="163"/>
    </row>
    <row r="204" spans="1:2" s="185" customFormat="1" ht="15">
      <c r="A204" s="163"/>
      <c r="B204" s="163"/>
    </row>
    <row r="205" spans="1:2" s="185" customFormat="1" ht="15">
      <c r="A205" s="163"/>
      <c r="B205" s="163"/>
    </row>
    <row r="206" spans="1:2" s="185" customFormat="1" ht="15">
      <c r="A206" s="163"/>
      <c r="B206" s="163"/>
    </row>
    <row r="207" spans="1:2" s="185" customFormat="1" ht="15">
      <c r="A207" s="163"/>
      <c r="B207" s="163"/>
    </row>
    <row r="208" spans="1:2" s="185" customFormat="1" ht="15">
      <c r="A208" s="163"/>
      <c r="B208" s="163"/>
    </row>
    <row r="209" spans="1:2" s="185" customFormat="1" ht="15">
      <c r="A209" s="163"/>
      <c r="B209" s="163"/>
    </row>
    <row r="210" spans="1:2" s="185" customFormat="1" ht="15">
      <c r="A210" s="163"/>
      <c r="B210" s="163"/>
    </row>
    <row r="211" spans="1:2" s="185" customFormat="1" ht="15">
      <c r="A211" s="163"/>
      <c r="B211" s="163"/>
    </row>
    <row r="212" spans="1:2" s="185" customFormat="1" ht="15">
      <c r="A212" s="163"/>
      <c r="B212" s="163"/>
    </row>
    <row r="213" spans="1:2" s="185" customFormat="1" ht="15">
      <c r="A213" s="163"/>
      <c r="B213" s="163"/>
    </row>
    <row r="214" spans="1:2" s="185" customFormat="1" ht="15">
      <c r="A214" s="163"/>
      <c r="B214" s="163"/>
    </row>
    <row r="215" spans="1:2" s="185" customFormat="1" ht="15">
      <c r="A215" s="163"/>
      <c r="B215" s="163"/>
    </row>
    <row r="216" spans="1:2" s="185" customFormat="1" ht="15">
      <c r="A216" s="163"/>
      <c r="B216" s="163"/>
    </row>
    <row r="217" spans="1:2" s="185" customFormat="1" ht="15">
      <c r="A217" s="163"/>
      <c r="B217" s="163"/>
    </row>
    <row r="218" spans="1:2" s="185" customFormat="1" ht="15">
      <c r="A218" s="163"/>
      <c r="B218" s="163"/>
    </row>
    <row r="219" spans="1:2" s="185" customFormat="1" ht="15">
      <c r="A219" s="163"/>
      <c r="B219" s="163"/>
    </row>
    <row r="220" spans="1:2" s="185" customFormat="1" ht="15">
      <c r="A220" s="163"/>
      <c r="B220" s="163"/>
    </row>
    <row r="221" spans="1:2" s="185" customFormat="1" ht="15">
      <c r="A221" s="163"/>
      <c r="B221" s="163"/>
    </row>
    <row r="222" spans="1:2" s="185" customFormat="1" ht="15">
      <c r="A222" s="163"/>
      <c r="B222" s="163"/>
    </row>
    <row r="223" spans="1:2" s="185" customFormat="1" ht="15">
      <c r="A223" s="163"/>
      <c r="B223" s="163"/>
    </row>
    <row r="224" spans="1:2" s="185" customFormat="1" ht="15">
      <c r="A224" s="163"/>
      <c r="B224" s="163"/>
    </row>
    <row r="225" spans="1:2" s="185" customFormat="1" ht="15">
      <c r="A225" s="163"/>
      <c r="B225" s="163"/>
    </row>
    <row r="226" spans="1:2" s="185" customFormat="1" ht="15">
      <c r="A226" s="163"/>
      <c r="B226" s="163"/>
    </row>
    <row r="227" spans="1:2" s="185" customFormat="1" ht="15">
      <c r="A227" s="163"/>
      <c r="B227" s="163"/>
    </row>
    <row r="228" spans="1:2" s="185" customFormat="1" ht="15">
      <c r="A228" s="163"/>
      <c r="B228" s="163"/>
    </row>
    <row r="229" spans="1:2" s="185" customFormat="1" ht="15">
      <c r="A229" s="163"/>
      <c r="B229" s="163"/>
    </row>
    <row r="230" spans="1:2" s="185" customFormat="1" ht="15">
      <c r="A230" s="163"/>
      <c r="B230" s="163"/>
    </row>
    <row r="231" spans="1:2" s="185" customFormat="1" ht="15">
      <c r="A231" s="163"/>
      <c r="B231" s="163"/>
    </row>
    <row r="232" spans="1:2" s="185" customFormat="1" ht="15">
      <c r="A232" s="163"/>
      <c r="B232" s="163"/>
    </row>
    <row r="233" spans="1:2" s="185" customFormat="1" ht="15">
      <c r="A233" s="163"/>
      <c r="B233" s="163"/>
    </row>
    <row r="234" spans="1:2" s="185" customFormat="1" ht="15">
      <c r="A234" s="163"/>
      <c r="B234" s="163"/>
    </row>
    <row r="235" spans="1:2" s="185" customFormat="1" ht="15">
      <c r="A235" s="163"/>
      <c r="B235" s="163"/>
    </row>
    <row r="236" spans="1:2" s="185" customFormat="1" ht="15">
      <c r="A236" s="163"/>
      <c r="B236" s="163"/>
    </row>
    <row r="237" spans="1:2" s="185" customFormat="1" ht="15">
      <c r="A237" s="163"/>
      <c r="B237" s="163"/>
    </row>
    <row r="238" spans="1:2" s="185" customFormat="1" ht="15">
      <c r="A238" s="163"/>
      <c r="B238" s="163"/>
    </row>
    <row r="239" spans="1:2" s="185" customFormat="1" ht="15">
      <c r="A239" s="163"/>
      <c r="B239" s="163"/>
    </row>
    <row r="240" spans="1:2" s="185" customFormat="1" ht="15">
      <c r="A240" s="163"/>
      <c r="B240" s="163"/>
    </row>
    <row r="241" spans="1:2" s="185" customFormat="1" ht="15">
      <c r="A241" s="163"/>
      <c r="B241" s="163"/>
    </row>
    <row r="242" spans="1:2" s="185" customFormat="1" ht="15">
      <c r="A242" s="163"/>
      <c r="B242" s="163"/>
    </row>
    <row r="243" spans="1:2" s="185" customFormat="1" ht="15">
      <c r="A243" s="163"/>
      <c r="B243" s="163"/>
    </row>
    <row r="244" spans="1:2" s="185" customFormat="1" ht="15">
      <c r="A244" s="163"/>
      <c r="B244" s="163"/>
    </row>
    <row r="245" spans="1:2" s="185" customFormat="1" ht="15">
      <c r="A245" s="163"/>
      <c r="B245" s="163"/>
    </row>
    <row r="246" spans="1:2" s="185" customFormat="1" ht="15">
      <c r="A246" s="163"/>
      <c r="B246" s="163"/>
    </row>
    <row r="247" spans="1:2" s="185" customFormat="1" ht="15">
      <c r="A247" s="163"/>
      <c r="B247" s="163"/>
    </row>
    <row r="248" spans="1:2" s="185" customFormat="1" ht="15">
      <c r="A248" s="163"/>
      <c r="B248" s="163"/>
    </row>
    <row r="249" spans="1:2" s="185" customFormat="1" ht="15">
      <c r="A249" s="163"/>
      <c r="B249" s="163"/>
    </row>
    <row r="250" spans="1:2" s="185" customFormat="1" ht="15">
      <c r="A250" s="163"/>
      <c r="B250" s="163"/>
    </row>
    <row r="251" spans="1:2" s="185" customFormat="1" ht="15">
      <c r="A251" s="163"/>
      <c r="B251" s="163"/>
    </row>
    <row r="252" spans="1:2" s="185" customFormat="1" ht="15">
      <c r="A252" s="163"/>
      <c r="B252" s="163"/>
    </row>
    <row r="253" spans="1:2" s="185" customFormat="1" ht="15">
      <c r="A253" s="163"/>
      <c r="B253" s="163"/>
    </row>
    <row r="254" spans="1:2" s="185" customFormat="1" ht="15">
      <c r="A254" s="163"/>
      <c r="B254" s="163"/>
    </row>
    <row r="255" spans="1:2" s="185" customFormat="1" ht="15">
      <c r="A255" s="163"/>
      <c r="B255" s="163"/>
    </row>
    <row r="256" spans="1:2" s="185" customFormat="1" ht="15">
      <c r="A256" s="163"/>
      <c r="B256" s="163"/>
    </row>
    <row r="257" spans="1:2" s="185" customFormat="1" ht="15">
      <c r="A257" s="163"/>
      <c r="B257" s="163"/>
    </row>
    <row r="258" spans="1:2" s="185" customFormat="1" ht="15">
      <c r="A258" s="163"/>
      <c r="B258" s="163"/>
    </row>
    <row r="259" spans="1:2" s="185" customFormat="1" ht="15">
      <c r="A259" s="163"/>
      <c r="B259" s="163"/>
    </row>
    <row r="260" spans="1:2" s="185" customFormat="1" ht="15">
      <c r="A260" s="163"/>
      <c r="B260" s="163"/>
    </row>
    <row r="261" spans="1:2" s="185" customFormat="1" ht="15">
      <c r="A261" s="163"/>
      <c r="B261" s="163"/>
    </row>
    <row r="262" spans="1:2" s="185" customFormat="1" ht="15">
      <c r="A262" s="163"/>
      <c r="B262" s="163"/>
    </row>
    <row r="263" spans="1:2" s="185" customFormat="1" ht="15">
      <c r="A263" s="163"/>
      <c r="B263" s="163"/>
    </row>
    <row r="264" spans="1:2" s="185" customFormat="1" ht="15">
      <c r="A264" s="163"/>
      <c r="B264" s="163"/>
    </row>
    <row r="265" spans="1:2" s="185" customFormat="1" ht="15">
      <c r="A265" s="163"/>
      <c r="B265" s="163"/>
    </row>
    <row r="266" spans="1:2" s="185" customFormat="1" ht="15">
      <c r="A266" s="163"/>
      <c r="B266" s="163"/>
    </row>
    <row r="267" spans="1:2" s="185" customFormat="1" ht="15">
      <c r="A267" s="163"/>
      <c r="B267" s="163"/>
    </row>
    <row r="268" spans="1:2" s="185" customFormat="1" ht="15">
      <c r="A268" s="163"/>
      <c r="B268" s="163"/>
    </row>
    <row r="269" spans="1:2" s="185" customFormat="1" ht="15">
      <c r="A269" s="163"/>
      <c r="B269" s="163"/>
    </row>
    <row r="270" spans="1:2" s="185" customFormat="1" ht="15">
      <c r="A270" s="163"/>
      <c r="B270" s="163"/>
    </row>
    <row r="271" spans="1:2" s="185" customFormat="1" ht="15">
      <c r="A271" s="163"/>
      <c r="B271" s="163"/>
    </row>
    <row r="272" spans="1:2" s="185" customFormat="1" ht="15">
      <c r="A272" s="163"/>
      <c r="B272" s="163"/>
    </row>
    <row r="273" spans="1:2" s="185" customFormat="1" ht="15">
      <c r="A273" s="163"/>
      <c r="B273" s="163"/>
    </row>
    <row r="274" spans="1:2" s="185" customFormat="1" ht="15">
      <c r="A274" s="163"/>
      <c r="B274" s="163"/>
    </row>
    <row r="275" spans="1:2" s="185" customFormat="1" ht="15">
      <c r="A275" s="163"/>
      <c r="B275" s="163"/>
    </row>
    <row r="276" spans="1:2" s="185" customFormat="1" ht="15">
      <c r="A276" s="163"/>
      <c r="B276" s="163"/>
    </row>
    <row r="277" spans="1:2" s="185" customFormat="1" ht="15">
      <c r="A277" s="163"/>
      <c r="B277" s="163"/>
    </row>
    <row r="278" spans="1:2" s="185" customFormat="1" ht="15">
      <c r="A278" s="163"/>
      <c r="B278" s="163"/>
    </row>
    <row r="279" spans="1:2" s="185" customFormat="1" ht="15">
      <c r="A279" s="163"/>
      <c r="B279" s="163"/>
    </row>
    <row r="280" spans="1:2" s="185" customFormat="1" ht="15">
      <c r="A280" s="163"/>
      <c r="B280" s="163"/>
    </row>
    <row r="281" spans="1:2" s="185" customFormat="1" ht="15">
      <c r="A281" s="163"/>
      <c r="B281" s="163"/>
    </row>
    <row r="282" spans="1:2" s="185" customFormat="1" ht="15">
      <c r="A282" s="163"/>
      <c r="B282" s="163"/>
    </row>
    <row r="283" spans="1:2" s="185" customFormat="1" ht="15">
      <c r="A283" s="163"/>
      <c r="B283" s="163"/>
    </row>
    <row r="284" spans="1:2" s="185" customFormat="1" ht="15">
      <c r="A284" s="163"/>
      <c r="B284" s="163"/>
    </row>
    <row r="285" spans="1:2" s="185" customFormat="1" ht="15">
      <c r="A285" s="163"/>
      <c r="B285" s="163"/>
    </row>
    <row r="286" spans="1:2" s="185" customFormat="1" ht="15">
      <c r="A286" s="163"/>
      <c r="B286" s="163"/>
    </row>
    <row r="287" spans="1:2" s="185" customFormat="1" ht="15">
      <c r="A287" s="163"/>
      <c r="B287" s="163"/>
    </row>
    <row r="288" spans="1:2" s="185" customFormat="1" ht="15">
      <c r="A288" s="163"/>
      <c r="B288" s="163"/>
    </row>
    <row r="289" spans="1:2" s="185" customFormat="1" ht="15">
      <c r="A289" s="163"/>
      <c r="B289" s="163"/>
    </row>
    <row r="290" spans="1:2" s="185" customFormat="1" ht="15">
      <c r="A290" s="163"/>
      <c r="B290" s="163"/>
    </row>
    <row r="291" spans="1:2" s="185" customFormat="1" ht="15">
      <c r="A291" s="163"/>
      <c r="B291" s="163"/>
    </row>
    <row r="292" spans="1:2" s="185" customFormat="1" ht="15">
      <c r="A292" s="163"/>
      <c r="B292" s="163"/>
    </row>
    <row r="293" spans="1:2" s="185" customFormat="1" ht="15">
      <c r="A293" s="163"/>
      <c r="B293" s="163"/>
    </row>
    <row r="294" spans="1:2" s="185" customFormat="1" ht="15">
      <c r="A294" s="163"/>
      <c r="B294" s="163"/>
    </row>
    <row r="295" spans="1:2" s="185" customFormat="1" ht="15">
      <c r="A295" s="163"/>
      <c r="B295" s="163"/>
    </row>
    <row r="296" spans="1:2" s="185" customFormat="1" ht="15">
      <c r="A296" s="163"/>
      <c r="B296" s="163"/>
    </row>
    <row r="297" spans="1:2" s="185" customFormat="1" ht="15">
      <c r="A297" s="163"/>
      <c r="B297" s="163"/>
    </row>
    <row r="298" spans="1:2" s="185" customFormat="1" ht="15">
      <c r="A298" s="163"/>
      <c r="B298" s="163"/>
    </row>
    <row r="299" spans="1:2" s="185" customFormat="1" ht="15">
      <c r="A299" s="163"/>
      <c r="B299" s="163"/>
    </row>
    <row r="300" spans="1:2" s="185" customFormat="1" ht="15">
      <c r="A300" s="163"/>
      <c r="B300" s="163"/>
    </row>
    <row r="301" spans="1:2" s="185" customFormat="1" ht="15">
      <c r="A301" s="163"/>
      <c r="B301" s="163"/>
    </row>
    <row r="302" spans="1:2" s="185" customFormat="1" ht="15">
      <c r="A302" s="163"/>
      <c r="B302" s="163"/>
    </row>
    <row r="303" spans="1:2" s="185" customFormat="1" ht="15">
      <c r="A303" s="163"/>
      <c r="B303" s="163"/>
    </row>
    <row r="304" spans="1:2" s="185" customFormat="1" ht="15">
      <c r="A304" s="163"/>
      <c r="B304" s="163"/>
    </row>
    <row r="305" spans="1:2" s="185" customFormat="1" ht="15">
      <c r="A305" s="163"/>
      <c r="B305" s="163"/>
    </row>
    <row r="306" spans="1:2" s="185" customFormat="1" ht="15">
      <c r="A306" s="163"/>
      <c r="B306" s="163"/>
    </row>
    <row r="307" spans="1:2" s="185" customFormat="1" ht="15">
      <c r="A307" s="163"/>
      <c r="B307" s="163"/>
    </row>
    <row r="308" spans="1:2" s="185" customFormat="1" ht="15">
      <c r="A308" s="163"/>
      <c r="B308" s="163"/>
    </row>
    <row r="309" spans="1:2" s="185" customFormat="1" ht="15">
      <c r="A309" s="163"/>
      <c r="B309" s="163"/>
    </row>
    <row r="310" spans="1:2" s="185" customFormat="1" ht="15">
      <c r="A310" s="163"/>
      <c r="B310" s="163"/>
    </row>
    <row r="311" spans="1:2" s="185" customFormat="1" ht="15">
      <c r="A311" s="163"/>
      <c r="B311" s="163"/>
    </row>
    <row r="312" spans="1:2" s="185" customFormat="1" ht="15">
      <c r="A312" s="163"/>
      <c r="B312" s="163"/>
    </row>
    <row r="313" spans="1:2" s="185" customFormat="1" ht="15">
      <c r="A313" s="163"/>
      <c r="B313" s="163"/>
    </row>
    <row r="314" spans="1:2" s="185" customFormat="1" ht="15">
      <c r="A314" s="163"/>
      <c r="B314" s="163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237"/>
  <sheetViews>
    <sheetView showZeros="0" view="pageBreakPreview" zoomScale="75" zoomScaleSheetLayoutView="75" zoomScalePageLayoutView="0" workbookViewId="0" topLeftCell="A6">
      <pane xSplit="1" ySplit="6" topLeftCell="B96" activePane="bottomRight" state="frozen"/>
      <selection pane="topLeft" activeCell="A6" sqref="A6"/>
      <selection pane="topRight" activeCell="B6" sqref="B6"/>
      <selection pane="bottomLeft" activeCell="A12" sqref="A12"/>
      <selection pane="bottomRight" activeCell="C13" sqref="C13"/>
    </sheetView>
  </sheetViews>
  <sheetFormatPr defaultColWidth="9.00390625" defaultRowHeight="12.75"/>
  <cols>
    <col min="1" max="1" width="41.875" style="302" customWidth="1"/>
    <col min="2" max="2" width="10.875" style="9" bestFit="1" customWidth="1"/>
    <col min="3" max="3" width="9.875" style="10" customWidth="1"/>
    <col min="4" max="4" width="6.25390625" style="10" customWidth="1"/>
    <col min="5" max="5" width="9.125" style="10" customWidth="1"/>
    <col min="6" max="6" width="8.875" style="11" customWidth="1"/>
    <col min="7" max="7" width="7.625" style="10" customWidth="1"/>
    <col min="8" max="8" width="8.00390625" style="10" customWidth="1"/>
    <col min="9" max="9" width="7.625" style="10" customWidth="1"/>
    <col min="10" max="10" width="8.375" style="10" hidden="1" customWidth="1"/>
    <col min="11" max="11" width="8.875" style="10" customWidth="1"/>
    <col min="12" max="12" width="9.25390625" style="10" customWidth="1"/>
    <col min="13" max="13" width="10.875" style="10" customWidth="1"/>
    <col min="14" max="14" width="11.25390625" style="10" customWidth="1"/>
    <col min="15" max="15" width="10.75390625" style="10" customWidth="1"/>
    <col min="16" max="16" width="10.375" style="10" customWidth="1"/>
    <col min="17" max="17" width="10.75390625" style="10" hidden="1" customWidth="1"/>
    <col min="18" max="18" width="7.875" style="10" customWidth="1"/>
    <col min="19" max="19" width="9.875" style="11" customWidth="1"/>
    <col min="20" max="20" width="8.25390625" style="10" customWidth="1"/>
    <col min="21" max="21" width="10.375" style="10" customWidth="1"/>
    <col min="22" max="22" width="10.875" style="11" customWidth="1"/>
    <col min="23" max="23" width="12.75390625" style="10" customWidth="1"/>
    <col min="24" max="24" width="14.375" style="10" customWidth="1"/>
    <col min="25" max="16384" width="9.125" style="10" customWidth="1"/>
  </cols>
  <sheetData>
    <row r="1" spans="21:22" ht="15.75" hidden="1">
      <c r="U1" s="136" t="s">
        <v>94</v>
      </c>
      <c r="V1" s="136"/>
    </row>
    <row r="2" spans="21:22" ht="15.75" hidden="1">
      <c r="U2" s="136" t="s">
        <v>245</v>
      </c>
      <c r="V2" s="136"/>
    </row>
    <row r="3" spans="21:22" ht="15.75" hidden="1">
      <c r="U3" s="136" t="s">
        <v>433</v>
      </c>
      <c r="V3" s="136"/>
    </row>
    <row r="4" spans="21:22" ht="15.75" hidden="1">
      <c r="U4" s="136" t="s">
        <v>246</v>
      </c>
      <c r="V4" s="136"/>
    </row>
    <row r="5" spans="1:2" ht="15.75" hidden="1">
      <c r="A5" s="99"/>
      <c r="B5" s="1"/>
    </row>
    <row r="6" spans="1:6" ht="18">
      <c r="A6" s="99"/>
      <c r="B6" s="1"/>
      <c r="F6" s="303" t="s">
        <v>247</v>
      </c>
    </row>
    <row r="7" spans="1:6" ht="15.75">
      <c r="A7" s="99"/>
      <c r="B7" s="1"/>
      <c r="F7" s="134" t="s">
        <v>541</v>
      </c>
    </row>
    <row r="8" spans="1:6" ht="15.75">
      <c r="A8" s="99"/>
      <c r="B8" s="1"/>
      <c r="F8" s="304" t="s">
        <v>267</v>
      </c>
    </row>
    <row r="9" spans="1:2" ht="15.75">
      <c r="A9" s="305"/>
      <c r="B9" s="11"/>
    </row>
    <row r="10" spans="1:24" s="26" customFormat="1" ht="15.75">
      <c r="A10" s="138"/>
      <c r="B10" s="139">
        <v>210</v>
      </c>
      <c r="C10" s="140">
        <v>211</v>
      </c>
      <c r="D10" s="140">
        <v>212</v>
      </c>
      <c r="E10" s="140">
        <v>213</v>
      </c>
      <c r="F10" s="139">
        <v>220</v>
      </c>
      <c r="G10" s="140">
        <v>221</v>
      </c>
      <c r="H10" s="140">
        <v>222</v>
      </c>
      <c r="I10" s="140">
        <v>223</v>
      </c>
      <c r="J10" s="141">
        <v>224</v>
      </c>
      <c r="K10" s="140">
        <v>225</v>
      </c>
      <c r="L10" s="140">
        <v>226</v>
      </c>
      <c r="M10" s="139">
        <v>240</v>
      </c>
      <c r="N10" s="306">
        <v>241</v>
      </c>
      <c r="O10" s="306">
        <v>242</v>
      </c>
      <c r="P10" s="139">
        <v>251</v>
      </c>
      <c r="Q10" s="139">
        <v>260</v>
      </c>
      <c r="R10" s="306">
        <v>261</v>
      </c>
      <c r="S10" s="139">
        <v>290</v>
      </c>
      <c r="T10" s="139">
        <v>300</v>
      </c>
      <c r="U10" s="140">
        <v>310</v>
      </c>
      <c r="V10" s="140">
        <v>320</v>
      </c>
      <c r="W10" s="140">
        <v>340</v>
      </c>
      <c r="X10" s="142"/>
    </row>
    <row r="11" spans="1:24" s="28" customFormat="1" ht="105.75" customHeight="1">
      <c r="A11" s="307"/>
      <c r="B11" s="401" t="s">
        <v>128</v>
      </c>
      <c r="C11" s="144" t="s">
        <v>727</v>
      </c>
      <c r="D11" s="144" t="s">
        <v>130</v>
      </c>
      <c r="E11" s="144" t="s">
        <v>728</v>
      </c>
      <c r="F11" s="233" t="s">
        <v>734</v>
      </c>
      <c r="G11" s="144" t="s">
        <v>132</v>
      </c>
      <c r="H11" s="144" t="s">
        <v>133</v>
      </c>
      <c r="I11" s="144" t="s">
        <v>134</v>
      </c>
      <c r="J11" s="144" t="s">
        <v>135</v>
      </c>
      <c r="K11" s="144" t="s">
        <v>735</v>
      </c>
      <c r="L11" s="144" t="s">
        <v>736</v>
      </c>
      <c r="M11" s="145" t="s">
        <v>249</v>
      </c>
      <c r="N11" s="145" t="s">
        <v>250</v>
      </c>
      <c r="O11" s="145" t="s">
        <v>250</v>
      </c>
      <c r="P11" s="146" t="s">
        <v>251</v>
      </c>
      <c r="Q11" s="146" t="s">
        <v>737</v>
      </c>
      <c r="R11" s="146" t="s">
        <v>119</v>
      </c>
      <c r="S11" s="146" t="s">
        <v>140</v>
      </c>
      <c r="T11" s="146" t="s">
        <v>141</v>
      </c>
      <c r="U11" s="145" t="s">
        <v>142</v>
      </c>
      <c r="V11" s="145" t="s">
        <v>476</v>
      </c>
      <c r="W11" s="145" t="s">
        <v>143</v>
      </c>
      <c r="X11" s="146" t="s">
        <v>634</v>
      </c>
    </row>
    <row r="12" spans="1:36" s="29" customFormat="1" ht="15.75">
      <c r="A12" s="308" t="s">
        <v>444</v>
      </c>
      <c r="B12" s="309"/>
      <c r="C12" s="309"/>
      <c r="D12" s="309"/>
      <c r="E12" s="310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</row>
    <row r="13" spans="1:36" s="30" customFormat="1" ht="21.75" customHeight="1">
      <c r="A13" s="311" t="s">
        <v>478</v>
      </c>
      <c r="B13" s="439">
        <f>SUM(C13:E13)</f>
        <v>683</v>
      </c>
      <c r="C13" s="438">
        <v>541</v>
      </c>
      <c r="D13" s="312"/>
      <c r="E13" s="438">
        <v>142</v>
      </c>
      <c r="F13" s="310">
        <f>SUM(G13:L13)</f>
        <v>0</v>
      </c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0">
        <f>SUM(U13:W13)</f>
        <v>0</v>
      </c>
      <c r="U13" s="312"/>
      <c r="V13" s="312"/>
      <c r="W13" s="312"/>
      <c r="X13" s="310">
        <f>B13+F13+M13+S13+T13</f>
        <v>683</v>
      </c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</row>
    <row r="14" spans="1:36" s="32" customFormat="1" ht="22.5" customHeight="1">
      <c r="A14" s="346" t="s">
        <v>145</v>
      </c>
      <c r="B14" s="395">
        <f aca="true" t="shared" si="0" ref="B14:W14">SUM(B13:B13)</f>
        <v>683</v>
      </c>
      <c r="C14" s="395">
        <f t="shared" si="0"/>
        <v>541</v>
      </c>
      <c r="D14" s="395">
        <f t="shared" si="0"/>
        <v>0</v>
      </c>
      <c r="E14" s="395">
        <f t="shared" si="0"/>
        <v>142</v>
      </c>
      <c r="F14" s="395">
        <f t="shared" si="0"/>
        <v>0</v>
      </c>
      <c r="G14" s="395">
        <f t="shared" si="0"/>
        <v>0</v>
      </c>
      <c r="H14" s="395">
        <f t="shared" si="0"/>
        <v>0</v>
      </c>
      <c r="I14" s="395">
        <f t="shared" si="0"/>
        <v>0</v>
      </c>
      <c r="J14" s="395">
        <f t="shared" si="0"/>
        <v>0</v>
      </c>
      <c r="K14" s="395">
        <f t="shared" si="0"/>
        <v>0</v>
      </c>
      <c r="L14" s="395">
        <f t="shared" si="0"/>
        <v>0</v>
      </c>
      <c r="M14" s="395"/>
      <c r="N14" s="395"/>
      <c r="O14" s="395"/>
      <c r="P14" s="395"/>
      <c r="Q14" s="395"/>
      <c r="R14" s="395"/>
      <c r="S14" s="395">
        <f t="shared" si="0"/>
        <v>0</v>
      </c>
      <c r="T14" s="395">
        <f t="shared" si="0"/>
        <v>0</v>
      </c>
      <c r="U14" s="395">
        <f t="shared" si="0"/>
        <v>0</v>
      </c>
      <c r="V14" s="395"/>
      <c r="W14" s="395">
        <f t="shared" si="0"/>
        <v>0</v>
      </c>
      <c r="X14" s="395">
        <f>SUM(X13:X13)</f>
        <v>683</v>
      </c>
      <c r="Y14" s="314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</row>
    <row r="15" spans="1:36" s="555" customFormat="1" ht="22.5" customHeight="1">
      <c r="A15" s="550" t="s">
        <v>547</v>
      </c>
      <c r="B15" s="551"/>
      <c r="C15" s="552"/>
      <c r="D15" s="552"/>
      <c r="E15" s="552"/>
      <c r="F15" s="552"/>
      <c r="G15" s="552"/>
      <c r="H15" s="552"/>
      <c r="I15" s="552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  <c r="U15" s="551"/>
      <c r="V15" s="551"/>
      <c r="W15" s="551"/>
      <c r="X15" s="557"/>
      <c r="Y15" s="553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</row>
    <row r="16" spans="1:36" s="555" customFormat="1" ht="35.25" customHeight="1">
      <c r="A16" s="556" t="s">
        <v>548</v>
      </c>
      <c r="B16" s="551"/>
      <c r="C16" s="552"/>
      <c r="D16" s="552"/>
      <c r="E16" s="552"/>
      <c r="F16" s="552"/>
      <c r="G16" s="552"/>
      <c r="H16" s="552"/>
      <c r="I16" s="552"/>
      <c r="J16" s="551"/>
      <c r="K16" s="551"/>
      <c r="L16" s="551"/>
      <c r="M16" s="551"/>
      <c r="N16" s="551"/>
      <c r="O16" s="551"/>
      <c r="P16" s="551"/>
      <c r="Q16" s="551"/>
      <c r="R16" s="551"/>
      <c r="S16" s="551">
        <v>12</v>
      </c>
      <c r="T16" s="551"/>
      <c r="U16" s="551"/>
      <c r="V16" s="551"/>
      <c r="W16" s="551"/>
      <c r="X16" s="557">
        <f>S16</f>
        <v>12</v>
      </c>
      <c r="Y16" s="553"/>
      <c r="Z16" s="554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</row>
    <row r="17" spans="1:36" s="555" customFormat="1" ht="35.25" customHeight="1">
      <c r="A17" s="556" t="s">
        <v>549</v>
      </c>
      <c r="B17" s="551"/>
      <c r="C17" s="552"/>
      <c r="D17" s="552"/>
      <c r="E17" s="552"/>
      <c r="F17" s="552"/>
      <c r="G17" s="552"/>
      <c r="H17" s="552"/>
      <c r="I17" s="552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57"/>
      <c r="Y17" s="553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</row>
    <row r="18" spans="1:36" s="555" customFormat="1" ht="35.25" customHeight="1">
      <c r="A18" s="556" t="s">
        <v>550</v>
      </c>
      <c r="B18" s="551"/>
      <c r="C18" s="552"/>
      <c r="D18" s="552"/>
      <c r="E18" s="552"/>
      <c r="F18" s="552"/>
      <c r="G18" s="552"/>
      <c r="H18" s="552"/>
      <c r="I18" s="552"/>
      <c r="J18" s="551"/>
      <c r="K18" s="551"/>
      <c r="L18" s="551"/>
      <c r="M18" s="551"/>
      <c r="N18" s="551"/>
      <c r="O18" s="551"/>
      <c r="P18" s="551"/>
      <c r="Q18" s="551"/>
      <c r="R18" s="551"/>
      <c r="S18" s="551">
        <v>12</v>
      </c>
      <c r="T18" s="551"/>
      <c r="U18" s="551"/>
      <c r="V18" s="551"/>
      <c r="W18" s="551"/>
      <c r="X18" s="557">
        <f>S18</f>
        <v>12</v>
      </c>
      <c r="Y18" s="553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</row>
    <row r="19" spans="1:36" s="565" customFormat="1" ht="21.75" customHeight="1">
      <c r="A19" s="559" t="s">
        <v>551</v>
      </c>
      <c r="B19" s="560"/>
      <c r="C19" s="561"/>
      <c r="D19" s="561"/>
      <c r="E19" s="561"/>
      <c r="F19" s="561"/>
      <c r="G19" s="561"/>
      <c r="H19" s="561"/>
      <c r="I19" s="561"/>
      <c r="J19" s="560"/>
      <c r="K19" s="560"/>
      <c r="L19" s="560"/>
      <c r="M19" s="560"/>
      <c r="N19" s="560"/>
      <c r="O19" s="560"/>
      <c r="P19" s="560"/>
      <c r="Q19" s="560"/>
      <c r="R19" s="560"/>
      <c r="S19" s="560">
        <f>S18+S16</f>
        <v>24</v>
      </c>
      <c r="T19" s="560"/>
      <c r="U19" s="560"/>
      <c r="V19" s="560"/>
      <c r="W19" s="560"/>
      <c r="X19" s="562">
        <f>X16+X18</f>
        <v>24</v>
      </c>
      <c r="Y19" s="563"/>
      <c r="Z19" s="564"/>
      <c r="AA19" s="564"/>
      <c r="AB19" s="564"/>
      <c r="AC19" s="564"/>
      <c r="AD19" s="564"/>
      <c r="AE19" s="564"/>
      <c r="AF19" s="564"/>
      <c r="AG19" s="564"/>
      <c r="AH19" s="564"/>
      <c r="AI19" s="564"/>
      <c r="AJ19" s="564"/>
    </row>
    <row r="20" spans="1:24" s="32" customFormat="1" ht="15.75">
      <c r="A20" s="155" t="s">
        <v>445</v>
      </c>
      <c r="B20" s="316"/>
      <c r="C20" s="317"/>
      <c r="D20" s="317"/>
      <c r="E20" s="317"/>
      <c r="F20" s="317"/>
      <c r="G20" s="317"/>
      <c r="H20" s="317"/>
      <c r="I20" s="317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558"/>
    </row>
    <row r="21" spans="1:24" s="32" customFormat="1" ht="15.75">
      <c r="A21" s="318" t="s">
        <v>653</v>
      </c>
      <c r="B21" s="319">
        <f>SUM(C21:E21)</f>
        <v>0</v>
      </c>
      <c r="C21" s="320"/>
      <c r="D21" s="320"/>
      <c r="E21" s="320"/>
      <c r="F21" s="321">
        <f>SUM(G21:L21)</f>
        <v>0</v>
      </c>
      <c r="G21" s="320"/>
      <c r="H21" s="320"/>
      <c r="I21" s="320"/>
      <c r="J21" s="320"/>
      <c r="K21" s="320"/>
      <c r="L21" s="320"/>
      <c r="M21" s="320"/>
      <c r="N21" s="320"/>
      <c r="O21" s="320"/>
      <c r="P21" s="319"/>
      <c r="Q21" s="320"/>
      <c r="R21" s="320"/>
      <c r="S21" s="442">
        <v>179</v>
      </c>
      <c r="T21" s="320"/>
      <c r="U21" s="322"/>
      <c r="V21" s="322"/>
      <c r="W21" s="319"/>
      <c r="X21" s="310">
        <f>B21+F21+M21+S21+T21</f>
        <v>179</v>
      </c>
    </row>
    <row r="22" spans="1:24" s="39" customFormat="1" ht="21.75" customHeight="1">
      <c r="A22" s="351" t="s">
        <v>446</v>
      </c>
      <c r="B22" s="396">
        <f aca="true" t="shared" si="1" ref="B22:M22">SUM(B21:B21)</f>
        <v>0</v>
      </c>
      <c r="C22" s="396">
        <f t="shared" si="1"/>
        <v>0</v>
      </c>
      <c r="D22" s="396">
        <f t="shared" si="1"/>
        <v>0</v>
      </c>
      <c r="E22" s="396">
        <f t="shared" si="1"/>
        <v>0</v>
      </c>
      <c r="F22" s="396">
        <f t="shared" si="1"/>
        <v>0</v>
      </c>
      <c r="G22" s="396">
        <f t="shared" si="1"/>
        <v>0</v>
      </c>
      <c r="H22" s="396">
        <f t="shared" si="1"/>
        <v>0</v>
      </c>
      <c r="I22" s="396">
        <f t="shared" si="1"/>
        <v>0</v>
      </c>
      <c r="J22" s="396">
        <f t="shared" si="1"/>
        <v>0</v>
      </c>
      <c r="K22" s="396">
        <f t="shared" si="1"/>
        <v>0</v>
      </c>
      <c r="L22" s="396">
        <f t="shared" si="1"/>
        <v>0</v>
      </c>
      <c r="M22" s="396">
        <f t="shared" si="1"/>
        <v>0</v>
      </c>
      <c r="N22" s="396"/>
      <c r="O22" s="396">
        <f aca="true" t="shared" si="2" ref="O22:X22">SUM(O21:O21)</f>
        <v>0</v>
      </c>
      <c r="P22" s="396">
        <f t="shared" si="2"/>
        <v>0</v>
      </c>
      <c r="Q22" s="396">
        <f t="shared" si="2"/>
        <v>0</v>
      </c>
      <c r="R22" s="396"/>
      <c r="S22" s="396">
        <f t="shared" si="2"/>
        <v>179</v>
      </c>
      <c r="T22" s="396">
        <f t="shared" si="2"/>
        <v>0</v>
      </c>
      <c r="U22" s="396">
        <f t="shared" si="2"/>
        <v>0</v>
      </c>
      <c r="V22" s="396"/>
      <c r="W22" s="396">
        <f t="shared" si="2"/>
        <v>0</v>
      </c>
      <c r="X22" s="396">
        <f t="shared" si="2"/>
        <v>179</v>
      </c>
    </row>
    <row r="23" spans="1:36" s="32" customFormat="1" ht="15.75">
      <c r="A23" s="323" t="s">
        <v>447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</row>
    <row r="24" spans="1:36" s="32" customFormat="1" ht="15.75">
      <c r="A24" s="591" t="s">
        <v>502</v>
      </c>
      <c r="B24" s="310">
        <f>SUM(C24:E24)</f>
        <v>2237</v>
      </c>
      <c r="C24" s="438">
        <v>1770</v>
      </c>
      <c r="D24" s="438">
        <v>3</v>
      </c>
      <c r="E24" s="438">
        <v>464</v>
      </c>
      <c r="F24" s="310">
        <f>SUM(G24:L24)</f>
        <v>1480</v>
      </c>
      <c r="G24" s="438">
        <v>22</v>
      </c>
      <c r="H24" s="438">
        <v>24</v>
      </c>
      <c r="I24" s="438">
        <v>327</v>
      </c>
      <c r="J24" s="312"/>
      <c r="K24" s="438">
        <v>907</v>
      </c>
      <c r="L24" s="438">
        <v>200</v>
      </c>
      <c r="M24" s="312"/>
      <c r="N24" s="312"/>
      <c r="O24" s="312"/>
      <c r="P24" s="312"/>
      <c r="Q24" s="312"/>
      <c r="R24" s="312"/>
      <c r="S24" s="438">
        <v>65</v>
      </c>
      <c r="T24" s="439">
        <f>SUM(U24:W24)</f>
        <v>590</v>
      </c>
      <c r="U24" s="438">
        <v>440</v>
      </c>
      <c r="V24" s="438">
        <v>25</v>
      </c>
      <c r="W24" s="438">
        <v>125</v>
      </c>
      <c r="X24" s="310">
        <f>B24+F24+M24+S24+T24</f>
        <v>4372</v>
      </c>
      <c r="Y24" s="314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</row>
    <row r="25" spans="1:36" s="39" customFormat="1" ht="22.5" customHeight="1">
      <c r="A25" s="346" t="s">
        <v>448</v>
      </c>
      <c r="B25" s="395">
        <f aca="true" t="shared" si="3" ref="B25:L25">SUM(B24:B24)</f>
        <v>2237</v>
      </c>
      <c r="C25" s="395">
        <f t="shared" si="3"/>
        <v>1770</v>
      </c>
      <c r="D25" s="395">
        <f t="shared" si="3"/>
        <v>3</v>
      </c>
      <c r="E25" s="395">
        <f t="shared" si="3"/>
        <v>464</v>
      </c>
      <c r="F25" s="395">
        <f t="shared" si="3"/>
        <v>1480</v>
      </c>
      <c r="G25" s="395">
        <f t="shared" si="3"/>
        <v>22</v>
      </c>
      <c r="H25" s="395">
        <f t="shared" si="3"/>
        <v>24</v>
      </c>
      <c r="I25" s="395">
        <f t="shared" si="3"/>
        <v>327</v>
      </c>
      <c r="J25" s="395">
        <f t="shared" si="3"/>
        <v>0</v>
      </c>
      <c r="K25" s="395">
        <f t="shared" si="3"/>
        <v>907</v>
      </c>
      <c r="L25" s="395">
        <f t="shared" si="3"/>
        <v>200</v>
      </c>
      <c r="M25" s="395"/>
      <c r="N25" s="395"/>
      <c r="O25" s="395"/>
      <c r="P25" s="395"/>
      <c r="Q25" s="395"/>
      <c r="R25" s="395"/>
      <c r="S25" s="395">
        <f>SUM(S24:S24)</f>
        <v>65</v>
      </c>
      <c r="T25" s="395">
        <f>SUM(T24:T24)</f>
        <v>590</v>
      </c>
      <c r="U25" s="395">
        <f>SUM(U24:U24)</f>
        <v>440</v>
      </c>
      <c r="V25" s="395">
        <f>V24</f>
        <v>25</v>
      </c>
      <c r="W25" s="395">
        <f>SUM(W24:W24)</f>
        <v>125</v>
      </c>
      <c r="X25" s="395">
        <f>B25+F25+M25+S25+T25</f>
        <v>4372</v>
      </c>
      <c r="Y25" s="314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</row>
    <row r="26" spans="1:24" ht="15.75" customHeight="1">
      <c r="A26" s="388" t="s">
        <v>449</v>
      </c>
      <c r="B26" s="389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</row>
    <row r="27" spans="1:24" ht="25.5" customHeight="1">
      <c r="A27" s="232" t="s">
        <v>70</v>
      </c>
      <c r="B27" s="324">
        <f>SUM(C27:E27)</f>
        <v>224.5</v>
      </c>
      <c r="C27" s="441">
        <v>177.3</v>
      </c>
      <c r="D27" s="441">
        <v>1</v>
      </c>
      <c r="E27" s="441">
        <v>46.2</v>
      </c>
      <c r="F27" s="441">
        <f>SUM(G27:L27)</f>
        <v>11</v>
      </c>
      <c r="G27" s="441">
        <v>3</v>
      </c>
      <c r="H27" s="441">
        <v>8</v>
      </c>
      <c r="I27" s="441">
        <v>0</v>
      </c>
      <c r="J27" s="441"/>
      <c r="K27" s="441">
        <v>0</v>
      </c>
      <c r="L27" s="441"/>
      <c r="M27" s="441"/>
      <c r="N27" s="441"/>
      <c r="O27" s="441"/>
      <c r="P27" s="441"/>
      <c r="Q27" s="441"/>
      <c r="R27" s="441"/>
      <c r="S27" s="441"/>
      <c r="T27" s="441">
        <f>U27+W27</f>
        <v>4</v>
      </c>
      <c r="U27" s="441">
        <v>0</v>
      </c>
      <c r="V27" s="441"/>
      <c r="W27" s="441">
        <v>4</v>
      </c>
      <c r="X27" s="310">
        <f aca="true" t="shared" si="4" ref="X27:X34">B27+F27+M27+S27+T27</f>
        <v>239.5</v>
      </c>
    </row>
    <row r="28" spans="1:24" s="181" customFormat="1" ht="24.75" customHeight="1">
      <c r="A28" s="350" t="s">
        <v>450</v>
      </c>
      <c r="B28" s="397">
        <f>SUM(B27)</f>
        <v>224.5</v>
      </c>
      <c r="C28" s="397">
        <f aca="true" t="shared" si="5" ref="C28:W28">SUM(C27)</f>
        <v>177.3</v>
      </c>
      <c r="D28" s="397">
        <f t="shared" si="5"/>
        <v>1</v>
      </c>
      <c r="E28" s="397">
        <f t="shared" si="5"/>
        <v>46.2</v>
      </c>
      <c r="F28" s="397">
        <f t="shared" si="5"/>
        <v>11</v>
      </c>
      <c r="G28" s="397">
        <f t="shared" si="5"/>
        <v>3</v>
      </c>
      <c r="H28" s="397">
        <f t="shared" si="5"/>
        <v>8</v>
      </c>
      <c r="I28" s="397">
        <f t="shared" si="5"/>
        <v>0</v>
      </c>
      <c r="J28" s="397">
        <f t="shared" si="5"/>
        <v>0</v>
      </c>
      <c r="K28" s="397">
        <f t="shared" si="5"/>
        <v>0</v>
      </c>
      <c r="L28" s="397">
        <f t="shared" si="5"/>
        <v>0</v>
      </c>
      <c r="M28" s="397">
        <f t="shared" si="5"/>
        <v>0</v>
      </c>
      <c r="N28" s="397">
        <f t="shared" si="5"/>
        <v>0</v>
      </c>
      <c r="O28" s="397">
        <f t="shared" si="5"/>
        <v>0</v>
      </c>
      <c r="P28" s="397">
        <f t="shared" si="5"/>
        <v>0</v>
      </c>
      <c r="Q28" s="397">
        <f t="shared" si="5"/>
        <v>0</v>
      </c>
      <c r="R28" s="397"/>
      <c r="S28" s="397">
        <f t="shared" si="5"/>
        <v>0</v>
      </c>
      <c r="T28" s="397">
        <f t="shared" si="5"/>
        <v>4</v>
      </c>
      <c r="U28" s="397">
        <f t="shared" si="5"/>
        <v>0</v>
      </c>
      <c r="V28" s="397"/>
      <c r="W28" s="397">
        <f t="shared" si="5"/>
        <v>4</v>
      </c>
      <c r="X28" s="395">
        <f t="shared" si="4"/>
        <v>239.5</v>
      </c>
    </row>
    <row r="29" spans="1:24" s="367" customFormat="1" ht="24.75" customHeight="1">
      <c r="A29" s="366" t="s">
        <v>480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10">
        <f t="shared" si="4"/>
        <v>0</v>
      </c>
    </row>
    <row r="30" spans="1:24" s="367" customFormat="1" ht="70.5" customHeight="1">
      <c r="A30" s="590" t="s">
        <v>566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566">
        <f>W30</f>
        <v>40</v>
      </c>
      <c r="U30" s="566"/>
      <c r="V30" s="566"/>
      <c r="W30" s="566">
        <v>40</v>
      </c>
      <c r="X30" s="310">
        <f t="shared" si="4"/>
        <v>40</v>
      </c>
    </row>
    <row r="31" spans="1:24" s="367" customFormat="1" ht="24.75" customHeight="1">
      <c r="A31" s="366" t="s">
        <v>614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566">
        <f>W31</f>
        <v>40</v>
      </c>
      <c r="U31" s="566"/>
      <c r="V31" s="566"/>
      <c r="W31" s="566">
        <f>W30</f>
        <v>40</v>
      </c>
      <c r="X31" s="310">
        <f t="shared" si="4"/>
        <v>40</v>
      </c>
    </row>
    <row r="32" spans="1:35" s="29" customFormat="1" ht="16.5" customHeight="1">
      <c r="A32" s="391" t="s">
        <v>579</v>
      </c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557"/>
      <c r="U32" s="557"/>
      <c r="V32" s="557"/>
      <c r="W32" s="557"/>
      <c r="X32" s="310">
        <f t="shared" si="4"/>
        <v>0</v>
      </c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</row>
    <row r="33" spans="1:24" s="40" customFormat="1" ht="27.75" customHeight="1">
      <c r="A33" s="392" t="s">
        <v>567</v>
      </c>
      <c r="B33" s="324">
        <f>SUM(C33:D33)</f>
        <v>0</v>
      </c>
      <c r="C33" s="312"/>
      <c r="D33" s="312"/>
      <c r="E33" s="312"/>
      <c r="F33" s="440">
        <f>SUM(G33:L33)</f>
        <v>20</v>
      </c>
      <c r="G33" s="312"/>
      <c r="H33" s="312"/>
      <c r="I33" s="312"/>
      <c r="J33" s="312"/>
      <c r="K33" s="312"/>
      <c r="L33" s="549">
        <v>20</v>
      </c>
      <c r="M33" s="312"/>
      <c r="N33" s="312"/>
      <c r="O33" s="324"/>
      <c r="P33" s="324"/>
      <c r="Q33" s="312"/>
      <c r="R33" s="312"/>
      <c r="S33" s="312"/>
      <c r="T33" s="557">
        <f>SUM(U33:W33)</f>
        <v>94.2</v>
      </c>
      <c r="U33" s="549"/>
      <c r="V33" s="549"/>
      <c r="W33" s="549">
        <v>94.2</v>
      </c>
      <c r="X33" s="310">
        <f t="shared" si="4"/>
        <v>114.2</v>
      </c>
    </row>
    <row r="34" spans="1:24" s="41" customFormat="1" ht="20.25" customHeight="1">
      <c r="A34" s="278" t="s">
        <v>473</v>
      </c>
      <c r="B34" s="310">
        <f aca="true" t="shared" si="6" ref="B34:L34">SUM(B33)</f>
        <v>0</v>
      </c>
      <c r="C34" s="310">
        <f t="shared" si="6"/>
        <v>0</v>
      </c>
      <c r="D34" s="310">
        <f t="shared" si="6"/>
        <v>0</v>
      </c>
      <c r="E34" s="310">
        <f t="shared" si="6"/>
        <v>0</v>
      </c>
      <c r="F34" s="440">
        <f aca="true" t="shared" si="7" ref="F34:F46">SUM(G34:L34)</f>
        <v>20</v>
      </c>
      <c r="G34" s="310">
        <f t="shared" si="6"/>
        <v>0</v>
      </c>
      <c r="H34" s="310">
        <f t="shared" si="6"/>
        <v>0</v>
      </c>
      <c r="I34" s="310">
        <f t="shared" si="6"/>
        <v>0</v>
      </c>
      <c r="J34" s="310">
        <f t="shared" si="6"/>
        <v>0</v>
      </c>
      <c r="K34" s="310">
        <f t="shared" si="6"/>
        <v>0</v>
      </c>
      <c r="L34" s="557">
        <f t="shared" si="6"/>
        <v>20</v>
      </c>
      <c r="M34" s="310"/>
      <c r="N34" s="310"/>
      <c r="O34" s="310"/>
      <c r="P34" s="310"/>
      <c r="Q34" s="310">
        <f>SUM(Q33)</f>
        <v>0</v>
      </c>
      <c r="R34" s="310"/>
      <c r="S34" s="310">
        <f>SUM(S33:S33)</f>
        <v>0</v>
      </c>
      <c r="T34" s="557">
        <f>SUM(T33:T33)</f>
        <v>94.2</v>
      </c>
      <c r="U34" s="557">
        <f>SUM(U33:U33)</f>
        <v>0</v>
      </c>
      <c r="V34" s="557"/>
      <c r="W34" s="557">
        <f>SUM(W33:W33)</f>
        <v>94.2</v>
      </c>
      <c r="X34" s="310">
        <f t="shared" si="4"/>
        <v>114.2</v>
      </c>
    </row>
    <row r="35" spans="1:24" s="325" customFormat="1" ht="20.25" customHeight="1" hidden="1">
      <c r="A35" s="278"/>
      <c r="B35" s="310"/>
      <c r="C35" s="310"/>
      <c r="D35" s="310"/>
      <c r="E35" s="310"/>
      <c r="F35" s="324">
        <f t="shared" si="7"/>
        <v>0</v>
      </c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</row>
    <row r="36" spans="1:24" s="325" customFormat="1" ht="20.25" customHeight="1">
      <c r="A36" s="352" t="s">
        <v>721</v>
      </c>
      <c r="B36" s="395"/>
      <c r="C36" s="395"/>
      <c r="D36" s="395"/>
      <c r="E36" s="395"/>
      <c r="F36" s="397">
        <f>F31+F34</f>
        <v>20</v>
      </c>
      <c r="G36" s="397">
        <f aca="true" t="shared" si="8" ref="G36:X36">G31+G34</f>
        <v>0</v>
      </c>
      <c r="H36" s="397">
        <f t="shared" si="8"/>
        <v>0</v>
      </c>
      <c r="I36" s="397">
        <f t="shared" si="8"/>
        <v>0</v>
      </c>
      <c r="J36" s="397">
        <f t="shared" si="8"/>
        <v>0</v>
      </c>
      <c r="K36" s="397">
        <f t="shared" si="8"/>
        <v>0</v>
      </c>
      <c r="L36" s="397">
        <f t="shared" si="8"/>
        <v>20</v>
      </c>
      <c r="M36" s="397">
        <f t="shared" si="8"/>
        <v>0</v>
      </c>
      <c r="N36" s="397">
        <f t="shared" si="8"/>
        <v>0</v>
      </c>
      <c r="O36" s="397">
        <f t="shared" si="8"/>
        <v>0</v>
      </c>
      <c r="P36" s="397">
        <f t="shared" si="8"/>
        <v>0</v>
      </c>
      <c r="Q36" s="397">
        <f t="shared" si="8"/>
        <v>0</v>
      </c>
      <c r="R36" s="397">
        <f t="shared" si="8"/>
        <v>0</v>
      </c>
      <c r="S36" s="397">
        <f t="shared" si="8"/>
        <v>0</v>
      </c>
      <c r="T36" s="397">
        <f t="shared" si="8"/>
        <v>134.2</v>
      </c>
      <c r="U36" s="397">
        <f t="shared" si="8"/>
        <v>0</v>
      </c>
      <c r="V36" s="397"/>
      <c r="W36" s="397">
        <f t="shared" si="8"/>
        <v>134.2</v>
      </c>
      <c r="X36" s="397">
        <f t="shared" si="8"/>
        <v>154.2</v>
      </c>
    </row>
    <row r="37" spans="1:24" s="325" customFormat="1" ht="15" customHeight="1" hidden="1">
      <c r="A37" s="323" t="s">
        <v>165</v>
      </c>
      <c r="B37" s="310"/>
      <c r="C37" s="310"/>
      <c r="D37" s="310"/>
      <c r="E37" s="310"/>
      <c r="F37" s="324">
        <f t="shared" si="7"/>
        <v>0</v>
      </c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</row>
    <row r="38" spans="1:36" s="1" customFormat="1" ht="15" customHeight="1" hidden="1">
      <c r="A38" s="311" t="s">
        <v>252</v>
      </c>
      <c r="B38" s="310">
        <f>SUM(C38:D38)</f>
        <v>0</v>
      </c>
      <c r="C38" s="312"/>
      <c r="D38" s="312"/>
      <c r="E38" s="310"/>
      <c r="F38" s="324">
        <f t="shared" si="7"/>
        <v>0</v>
      </c>
      <c r="G38" s="312"/>
      <c r="H38" s="312"/>
      <c r="I38" s="312"/>
      <c r="J38" s="310"/>
      <c r="K38" s="312"/>
      <c r="L38" s="312"/>
      <c r="M38" s="312"/>
      <c r="N38" s="312"/>
      <c r="O38" s="310"/>
      <c r="P38" s="310"/>
      <c r="Q38" s="312"/>
      <c r="R38" s="312"/>
      <c r="S38" s="310"/>
      <c r="T38" s="310">
        <f>SUM(U38:W38)</f>
        <v>0</v>
      </c>
      <c r="V38" s="312"/>
      <c r="W38" s="312"/>
      <c r="X38" s="310">
        <f>B38+F38+M38+S38+T38</f>
        <v>0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</row>
    <row r="39" spans="1:24" s="325" customFormat="1" ht="15" customHeight="1">
      <c r="A39" s="323" t="s">
        <v>530</v>
      </c>
      <c r="B39" s="310"/>
      <c r="C39" s="310"/>
      <c r="D39" s="310"/>
      <c r="E39" s="310"/>
      <c r="F39" s="324">
        <f t="shared" si="7"/>
        <v>0</v>
      </c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</row>
    <row r="40" spans="1:36" s="1" customFormat="1" ht="27.75" customHeight="1">
      <c r="A40" s="326" t="s">
        <v>253</v>
      </c>
      <c r="B40" s="310">
        <f>SUM(C40:D40)</f>
        <v>0</v>
      </c>
      <c r="C40" s="312"/>
      <c r="D40" s="312"/>
      <c r="E40" s="310"/>
      <c r="F40" s="324">
        <f t="shared" si="7"/>
        <v>0</v>
      </c>
      <c r="G40" s="312"/>
      <c r="H40" s="312"/>
      <c r="I40" s="312"/>
      <c r="J40" s="310"/>
      <c r="K40" s="312"/>
      <c r="L40" s="312"/>
      <c r="M40" s="312">
        <f>N40</f>
        <v>433</v>
      </c>
      <c r="N40" s="312">
        <v>433</v>
      </c>
      <c r="O40" s="310"/>
      <c r="P40" s="310"/>
      <c r="Q40" s="312"/>
      <c r="R40" s="312"/>
      <c r="S40" s="310"/>
      <c r="T40" s="310">
        <f>SUM(U40:W40)</f>
        <v>0</v>
      </c>
      <c r="U40" s="312"/>
      <c r="V40" s="312"/>
      <c r="W40" s="312"/>
      <c r="X40" s="310">
        <f>B40+F40+M40+S40+T40</f>
        <v>433</v>
      </c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</row>
    <row r="41" spans="1:36" s="1" customFormat="1" ht="27.75" customHeight="1">
      <c r="A41" s="401" t="s">
        <v>552</v>
      </c>
      <c r="B41" s="310"/>
      <c r="C41" s="312"/>
      <c r="D41" s="312"/>
      <c r="E41" s="310"/>
      <c r="F41" s="324"/>
      <c r="G41" s="312"/>
      <c r="H41" s="312"/>
      <c r="I41" s="312"/>
      <c r="J41" s="310"/>
      <c r="K41" s="312"/>
      <c r="L41" s="312"/>
      <c r="M41" s="312"/>
      <c r="N41" s="312"/>
      <c r="O41" s="310"/>
      <c r="P41" s="310"/>
      <c r="Q41" s="312"/>
      <c r="R41" s="312"/>
      <c r="S41" s="310"/>
      <c r="T41" s="310"/>
      <c r="U41" s="312"/>
      <c r="V41" s="312"/>
      <c r="W41" s="312"/>
      <c r="X41" s="310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</row>
    <row r="42" spans="1:36" s="1" customFormat="1" ht="21" customHeight="1">
      <c r="A42" s="326" t="s">
        <v>553</v>
      </c>
      <c r="B42" s="310"/>
      <c r="C42" s="312"/>
      <c r="D42" s="312"/>
      <c r="E42" s="310"/>
      <c r="F42" s="324"/>
      <c r="G42" s="312"/>
      <c r="H42" s="312"/>
      <c r="I42" s="312"/>
      <c r="J42" s="310"/>
      <c r="K42" s="312"/>
      <c r="L42" s="312"/>
      <c r="M42" s="312"/>
      <c r="N42" s="312"/>
      <c r="O42" s="310"/>
      <c r="P42" s="310"/>
      <c r="Q42" s="312"/>
      <c r="R42" s="312"/>
      <c r="S42" s="310"/>
      <c r="T42" s="310">
        <f>U42</f>
        <v>1580</v>
      </c>
      <c r="U42" s="312">
        <v>1580</v>
      </c>
      <c r="V42" s="312"/>
      <c r="W42" s="312"/>
      <c r="X42" s="310">
        <f>T42</f>
        <v>1580</v>
      </c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</row>
    <row r="43" spans="1:24" s="41" customFormat="1" ht="20.25" customHeight="1">
      <c r="A43" s="347" t="s">
        <v>451</v>
      </c>
      <c r="B43" s="395"/>
      <c r="C43" s="395"/>
      <c r="D43" s="395"/>
      <c r="E43" s="395"/>
      <c r="F43" s="397">
        <f t="shared" si="7"/>
        <v>0</v>
      </c>
      <c r="G43" s="395">
        <f aca="true" t="shared" si="9" ref="G43:W43">SUM(G38)</f>
        <v>0</v>
      </c>
      <c r="H43" s="395">
        <f t="shared" si="9"/>
        <v>0</v>
      </c>
      <c r="I43" s="395">
        <f t="shared" si="9"/>
        <v>0</v>
      </c>
      <c r="J43" s="395">
        <f t="shared" si="9"/>
        <v>0</v>
      </c>
      <c r="K43" s="395">
        <f>SUM(K38:K40)</f>
        <v>0</v>
      </c>
      <c r="L43" s="395">
        <f t="shared" si="9"/>
        <v>0</v>
      </c>
      <c r="M43" s="395">
        <f>M40</f>
        <v>433</v>
      </c>
      <c r="N43" s="395">
        <f>N40</f>
        <v>433</v>
      </c>
      <c r="O43" s="395">
        <f t="shared" si="9"/>
        <v>0</v>
      </c>
      <c r="P43" s="395">
        <f t="shared" si="9"/>
        <v>0</v>
      </c>
      <c r="Q43" s="395">
        <f t="shared" si="9"/>
        <v>0</v>
      </c>
      <c r="R43" s="395"/>
      <c r="S43" s="395">
        <f t="shared" si="9"/>
        <v>0</v>
      </c>
      <c r="T43" s="395">
        <f>T42</f>
        <v>1580</v>
      </c>
      <c r="U43" s="395">
        <f>SUM(U42)</f>
        <v>1580</v>
      </c>
      <c r="V43" s="395"/>
      <c r="W43" s="395">
        <f t="shared" si="9"/>
        <v>0</v>
      </c>
      <c r="X43" s="395">
        <f>SUM(X38:X42)</f>
        <v>2013</v>
      </c>
    </row>
    <row r="44" spans="1:24" s="325" customFormat="1" ht="15" customHeight="1">
      <c r="A44" s="323" t="s">
        <v>452</v>
      </c>
      <c r="B44" s="310"/>
      <c r="C44" s="310"/>
      <c r="D44" s="310"/>
      <c r="E44" s="310"/>
      <c r="F44" s="324">
        <f t="shared" si="7"/>
        <v>0</v>
      </c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</row>
    <row r="45" spans="1:36" s="1" customFormat="1" ht="43.5" customHeight="1">
      <c r="A45" s="393" t="s">
        <v>69</v>
      </c>
      <c r="B45" s="310">
        <f>SUM(C45:D45)</f>
        <v>0</v>
      </c>
      <c r="C45" s="312"/>
      <c r="D45" s="312"/>
      <c r="E45" s="310"/>
      <c r="F45" s="324">
        <f t="shared" si="7"/>
        <v>250</v>
      </c>
      <c r="G45" s="312"/>
      <c r="H45" s="312"/>
      <c r="I45" s="312"/>
      <c r="J45" s="310"/>
      <c r="K45" s="312"/>
      <c r="L45" s="312">
        <v>250</v>
      </c>
      <c r="M45" s="312"/>
      <c r="N45" s="312"/>
      <c r="O45" s="310"/>
      <c r="P45" s="310"/>
      <c r="Q45" s="312"/>
      <c r="R45" s="312"/>
      <c r="S45" s="310"/>
      <c r="T45" s="310">
        <f>SUM(U45:W45)</f>
        <v>0</v>
      </c>
      <c r="U45" s="312"/>
      <c r="V45" s="312"/>
      <c r="W45" s="312"/>
      <c r="X45" s="310">
        <f>B45+F45+M45+S45+T45</f>
        <v>250</v>
      </c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</row>
    <row r="46" spans="1:24" s="41" customFormat="1" ht="20.25" customHeight="1">
      <c r="A46" s="347" t="s">
        <v>453</v>
      </c>
      <c r="B46" s="395"/>
      <c r="C46" s="395"/>
      <c r="D46" s="395"/>
      <c r="E46" s="395"/>
      <c r="F46" s="397">
        <f t="shared" si="7"/>
        <v>250</v>
      </c>
      <c r="G46" s="395">
        <f>SUM(G43)</f>
        <v>0</v>
      </c>
      <c r="H46" s="395">
        <f>SUM(H43)</f>
        <v>0</v>
      </c>
      <c r="I46" s="395">
        <f>SUM(I43)</f>
        <v>0</v>
      </c>
      <c r="J46" s="395">
        <f>SUM(J43)</f>
        <v>0</v>
      </c>
      <c r="K46" s="395"/>
      <c r="L46" s="395">
        <f>SUM(L45)</f>
        <v>250</v>
      </c>
      <c r="M46" s="395">
        <f aca="true" t="shared" si="10" ref="M46:X46">SUM(M45)</f>
        <v>0</v>
      </c>
      <c r="N46" s="395">
        <f t="shared" si="10"/>
        <v>0</v>
      </c>
      <c r="O46" s="395">
        <f t="shared" si="10"/>
        <v>0</v>
      </c>
      <c r="P46" s="395">
        <f t="shared" si="10"/>
        <v>0</v>
      </c>
      <c r="Q46" s="395">
        <f t="shared" si="10"/>
        <v>0</v>
      </c>
      <c r="R46" s="395"/>
      <c r="S46" s="395">
        <f t="shared" si="10"/>
        <v>0</v>
      </c>
      <c r="T46" s="395">
        <f t="shared" si="10"/>
        <v>0</v>
      </c>
      <c r="U46" s="395">
        <f t="shared" si="10"/>
        <v>0</v>
      </c>
      <c r="V46" s="395"/>
      <c r="W46" s="395">
        <f t="shared" si="10"/>
        <v>0</v>
      </c>
      <c r="X46" s="395">
        <f t="shared" si="10"/>
        <v>250</v>
      </c>
    </row>
    <row r="47" spans="1:36" s="1" customFormat="1" ht="15" customHeight="1" hidden="1">
      <c r="A47" s="323" t="s">
        <v>207</v>
      </c>
      <c r="B47" s="310"/>
      <c r="C47" s="312"/>
      <c r="D47" s="312"/>
      <c r="E47" s="310"/>
      <c r="F47" s="310"/>
      <c r="G47" s="312"/>
      <c r="H47" s="312"/>
      <c r="I47" s="312"/>
      <c r="J47" s="310"/>
      <c r="K47" s="312"/>
      <c r="L47" s="312"/>
      <c r="M47" s="312"/>
      <c r="N47" s="312"/>
      <c r="O47" s="310"/>
      <c r="P47" s="310"/>
      <c r="Q47" s="312"/>
      <c r="R47" s="312"/>
      <c r="S47" s="310"/>
      <c r="T47" s="310"/>
      <c r="U47" s="312"/>
      <c r="V47" s="312"/>
      <c r="W47" s="312"/>
      <c r="X47" s="310">
        <f>B47+F47+M47+S47+T47</f>
        <v>0</v>
      </c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</row>
    <row r="48" spans="1:36" s="343" customFormat="1" ht="25.5" customHeight="1" hidden="1">
      <c r="A48" s="339" t="s">
        <v>254</v>
      </c>
      <c r="B48" s="340"/>
      <c r="C48" s="340"/>
      <c r="D48" s="340"/>
      <c r="E48" s="340"/>
      <c r="F48" s="340">
        <f>SUM(G48:K48)</f>
        <v>0</v>
      </c>
      <c r="G48" s="340"/>
      <c r="H48" s="341"/>
      <c r="I48" s="340"/>
      <c r="J48" s="340"/>
      <c r="K48" s="340"/>
      <c r="L48" s="340"/>
      <c r="M48" s="340">
        <f>SUM(N48:O48)</f>
        <v>0</v>
      </c>
      <c r="N48" s="341"/>
      <c r="O48" s="340"/>
      <c r="P48" s="340"/>
      <c r="Q48" s="340"/>
      <c r="R48" s="340"/>
      <c r="S48" s="340"/>
      <c r="T48" s="340">
        <f>SUM(U48:W48)</f>
        <v>0</v>
      </c>
      <c r="U48" s="340">
        <f>340-340</f>
        <v>0</v>
      </c>
      <c r="V48" s="340"/>
      <c r="W48" s="340"/>
      <c r="X48" s="340">
        <f>B48+F48+M48+S48+T48</f>
        <v>0</v>
      </c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</row>
    <row r="49" spans="1:36" s="1" customFormat="1" ht="30.75" hidden="1">
      <c r="A49" s="327" t="s">
        <v>208</v>
      </c>
      <c r="B49" s="310">
        <f>SUM(C49:D49)</f>
        <v>0</v>
      </c>
      <c r="C49" s="312"/>
      <c r="D49" s="312"/>
      <c r="E49" s="310">
        <f>SUM(F49:I49)</f>
        <v>0</v>
      </c>
      <c r="F49" s="310">
        <f>H49</f>
        <v>0</v>
      </c>
      <c r="G49" s="312"/>
      <c r="H49" s="312"/>
      <c r="I49" s="312"/>
      <c r="J49" s="310">
        <f>SUM(K49:L49)</f>
        <v>0</v>
      </c>
      <c r="K49" s="312"/>
      <c r="L49" s="312"/>
      <c r="M49" s="310">
        <f>SUM(N49:O49)</f>
        <v>0</v>
      </c>
      <c r="N49" s="312"/>
      <c r="O49" s="310"/>
      <c r="P49" s="310"/>
      <c r="Q49" s="312"/>
      <c r="R49" s="312"/>
      <c r="S49" s="310"/>
      <c r="T49" s="310">
        <f>SUM(U49:W49)</f>
        <v>0</v>
      </c>
      <c r="U49" s="312"/>
      <c r="V49" s="312"/>
      <c r="W49" s="312"/>
      <c r="X49" s="310">
        <f>B49+F49+M49+S49+T49</f>
        <v>0</v>
      </c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</row>
    <row r="50" spans="1:36" s="43" customFormat="1" ht="21" customHeight="1" hidden="1">
      <c r="A50" s="345" t="s">
        <v>255</v>
      </c>
      <c r="B50" s="310">
        <f>SUM(B48:B49)</f>
        <v>0</v>
      </c>
      <c r="C50" s="310">
        <f aca="true" t="shared" si="11" ref="C50:X50">SUM(C48:C49)</f>
        <v>0</v>
      </c>
      <c r="D50" s="310">
        <f t="shared" si="11"/>
        <v>0</v>
      </c>
      <c r="E50" s="310">
        <f t="shared" si="11"/>
        <v>0</v>
      </c>
      <c r="F50" s="310">
        <f t="shared" si="11"/>
        <v>0</v>
      </c>
      <c r="G50" s="310">
        <f t="shared" si="11"/>
        <v>0</v>
      </c>
      <c r="H50" s="310">
        <f t="shared" si="11"/>
        <v>0</v>
      </c>
      <c r="I50" s="310">
        <f t="shared" si="11"/>
        <v>0</v>
      </c>
      <c r="J50" s="310">
        <f t="shared" si="11"/>
        <v>0</v>
      </c>
      <c r="K50" s="310">
        <f t="shared" si="11"/>
        <v>0</v>
      </c>
      <c r="L50" s="310">
        <f t="shared" si="11"/>
        <v>0</v>
      </c>
      <c r="M50" s="310">
        <f>SUM(N50:O50)</f>
        <v>0</v>
      </c>
      <c r="N50" s="310">
        <f>SUM(N48)</f>
        <v>0</v>
      </c>
      <c r="O50" s="310">
        <f>SUM(O48)</f>
        <v>0</v>
      </c>
      <c r="P50" s="310"/>
      <c r="Q50" s="310">
        <f t="shared" si="11"/>
        <v>0</v>
      </c>
      <c r="R50" s="310"/>
      <c r="S50" s="310">
        <f t="shared" si="11"/>
        <v>0</v>
      </c>
      <c r="T50" s="310">
        <f t="shared" si="11"/>
        <v>0</v>
      </c>
      <c r="U50" s="310">
        <f t="shared" si="11"/>
        <v>0</v>
      </c>
      <c r="V50" s="310"/>
      <c r="W50" s="310">
        <f t="shared" si="11"/>
        <v>0</v>
      </c>
      <c r="X50" s="310">
        <f t="shared" si="11"/>
        <v>0</v>
      </c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</row>
    <row r="51" spans="1:36" s="43" customFormat="1" ht="21" customHeight="1">
      <c r="A51" s="345" t="s">
        <v>554</v>
      </c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</row>
    <row r="52" spans="1:36" s="43" customFormat="1" ht="37.5" customHeight="1">
      <c r="A52" s="569" t="s">
        <v>529</v>
      </c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>
        <f>M53</f>
        <v>1814</v>
      </c>
      <c r="N52" s="310"/>
      <c r="O52" s="310">
        <v>1814</v>
      </c>
      <c r="P52" s="310"/>
      <c r="Q52" s="310"/>
      <c r="R52" s="310"/>
      <c r="S52" s="310"/>
      <c r="T52" s="310"/>
      <c r="U52" s="310"/>
      <c r="V52" s="310"/>
      <c r="W52" s="310"/>
      <c r="X52" s="310">
        <f>M52</f>
        <v>1814</v>
      </c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</row>
    <row r="53" spans="1:36" s="43" customFormat="1" ht="21" customHeight="1">
      <c r="A53" s="345" t="s">
        <v>568</v>
      </c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>
        <f>O53</f>
        <v>1814</v>
      </c>
      <c r="N53" s="310">
        <f>N51</f>
        <v>0</v>
      </c>
      <c r="O53" s="310">
        <f>O52</f>
        <v>1814</v>
      </c>
      <c r="P53" s="310"/>
      <c r="Q53" s="310"/>
      <c r="R53" s="310"/>
      <c r="S53" s="310"/>
      <c r="T53" s="310"/>
      <c r="U53" s="310"/>
      <c r="V53" s="310"/>
      <c r="W53" s="310"/>
      <c r="X53" s="310">
        <f>X52</f>
        <v>1814</v>
      </c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</row>
    <row r="54" spans="1:36" s="1" customFormat="1" ht="15.75">
      <c r="A54" s="347" t="s">
        <v>209</v>
      </c>
      <c r="B54" s="395"/>
      <c r="C54" s="524"/>
      <c r="D54" s="524"/>
      <c r="E54" s="395"/>
      <c r="F54" s="395"/>
      <c r="G54" s="524"/>
      <c r="H54" s="524"/>
      <c r="I54" s="524"/>
      <c r="J54" s="395"/>
      <c r="K54" s="524"/>
      <c r="L54" s="524"/>
      <c r="M54" s="395">
        <f>M52</f>
        <v>1814</v>
      </c>
      <c r="N54" s="395">
        <f>N52</f>
        <v>0</v>
      </c>
      <c r="O54" s="395">
        <f>O52</f>
        <v>1814</v>
      </c>
      <c r="P54" s="395"/>
      <c r="Q54" s="524"/>
      <c r="R54" s="524"/>
      <c r="S54" s="395"/>
      <c r="T54" s="395"/>
      <c r="U54" s="524"/>
      <c r="V54" s="524"/>
      <c r="W54" s="524"/>
      <c r="X54" s="395">
        <f>B54+F54+M54+S54+T54</f>
        <v>1814</v>
      </c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</row>
    <row r="55" spans="1:36" s="1" customFormat="1" ht="42.75" customHeight="1" hidden="1">
      <c r="A55" s="323" t="s">
        <v>454</v>
      </c>
      <c r="B55" s="310"/>
      <c r="C55" s="312"/>
      <c r="D55" s="312"/>
      <c r="E55" s="310"/>
      <c r="F55" s="310"/>
      <c r="G55" s="312"/>
      <c r="H55" s="312"/>
      <c r="I55" s="312"/>
      <c r="J55" s="310">
        <f>SUM(K55:L55)</f>
        <v>0</v>
      </c>
      <c r="K55" s="312"/>
      <c r="L55" s="312"/>
      <c r="M55" s="312">
        <f>SUM(N55:O55)</f>
        <v>0</v>
      </c>
      <c r="N55" s="312">
        <v>0</v>
      </c>
      <c r="O55" s="310"/>
      <c r="P55" s="310"/>
      <c r="Q55" s="312"/>
      <c r="R55" s="312"/>
      <c r="S55" s="310"/>
      <c r="T55" s="310"/>
      <c r="U55" s="312"/>
      <c r="V55" s="312"/>
      <c r="W55" s="312"/>
      <c r="X55" s="310">
        <f>B55+F55+M55+S55+T55</f>
        <v>0</v>
      </c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</row>
    <row r="56" spans="1:36" s="1" customFormat="1" ht="43.5" customHeight="1" hidden="1">
      <c r="A56" s="326" t="s">
        <v>211</v>
      </c>
      <c r="B56" s="310">
        <f aca="true" t="shared" si="12" ref="B56:Q56">SUM(B55)</f>
        <v>0</v>
      </c>
      <c r="C56" s="310">
        <f t="shared" si="12"/>
        <v>0</v>
      </c>
      <c r="D56" s="310">
        <f t="shared" si="12"/>
        <v>0</v>
      </c>
      <c r="E56" s="310">
        <f t="shared" si="12"/>
        <v>0</v>
      </c>
      <c r="F56" s="310">
        <f t="shared" si="12"/>
        <v>0</v>
      </c>
      <c r="G56" s="310">
        <f t="shared" si="12"/>
        <v>0</v>
      </c>
      <c r="H56" s="310">
        <f t="shared" si="12"/>
        <v>0</v>
      </c>
      <c r="I56" s="310">
        <f t="shared" si="12"/>
        <v>0</v>
      </c>
      <c r="J56" s="310">
        <f t="shared" si="12"/>
        <v>0</v>
      </c>
      <c r="K56" s="310">
        <f t="shared" si="12"/>
        <v>0</v>
      </c>
      <c r="L56" s="310">
        <f t="shared" si="12"/>
        <v>0</v>
      </c>
      <c r="M56" s="310">
        <f t="shared" si="12"/>
        <v>0</v>
      </c>
      <c r="N56" s="310">
        <f t="shared" si="12"/>
        <v>0</v>
      </c>
      <c r="O56" s="310">
        <f t="shared" si="12"/>
        <v>0</v>
      </c>
      <c r="P56" s="310">
        <f t="shared" si="12"/>
        <v>0</v>
      </c>
      <c r="Q56" s="310">
        <f t="shared" si="12"/>
        <v>0</v>
      </c>
      <c r="R56" s="310"/>
      <c r="S56" s="310">
        <f>SUM(S55)</f>
        <v>0</v>
      </c>
      <c r="T56" s="310">
        <f>SUM(T55)</f>
        <v>0</v>
      </c>
      <c r="U56" s="310">
        <f>SUM(U55)</f>
        <v>0</v>
      </c>
      <c r="V56" s="310"/>
      <c r="W56" s="310">
        <f>SUM(W55)</f>
        <v>0</v>
      </c>
      <c r="X56" s="310">
        <f>SUM(X55)</f>
        <v>0</v>
      </c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</row>
    <row r="57" spans="1:36" s="1" customFormat="1" ht="15.75" hidden="1">
      <c r="A57" s="323" t="s">
        <v>455</v>
      </c>
      <c r="B57" s="310"/>
      <c r="C57" s="312"/>
      <c r="D57" s="312"/>
      <c r="E57" s="310"/>
      <c r="F57" s="310"/>
      <c r="G57" s="312"/>
      <c r="H57" s="312"/>
      <c r="I57" s="312"/>
      <c r="J57" s="310"/>
      <c r="K57" s="312"/>
      <c r="L57" s="312"/>
      <c r="M57" s="310">
        <f>SUM(N57:O57)</f>
        <v>0</v>
      </c>
      <c r="N57" s="312"/>
      <c r="O57" s="310"/>
      <c r="P57" s="310"/>
      <c r="Q57" s="312"/>
      <c r="R57" s="312"/>
      <c r="S57" s="310"/>
      <c r="T57" s="310"/>
      <c r="U57" s="312"/>
      <c r="V57" s="312"/>
      <c r="W57" s="312"/>
      <c r="X57" s="310">
        <f>B57+F57+M57+S57+T57</f>
        <v>0</v>
      </c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</row>
    <row r="58" spans="1:36" s="344" customFormat="1" ht="26.25" customHeight="1">
      <c r="A58" s="323" t="s">
        <v>456</v>
      </c>
      <c r="B58" s="310"/>
      <c r="C58" s="312"/>
      <c r="D58" s="312"/>
      <c r="E58" s="310">
        <f>H58</f>
        <v>0</v>
      </c>
      <c r="F58" s="310">
        <f>SUM(G58:L58)</f>
        <v>0</v>
      </c>
      <c r="G58" s="312"/>
      <c r="H58" s="312"/>
      <c r="I58" s="312"/>
      <c r="J58" s="310"/>
      <c r="K58" s="312"/>
      <c r="L58" s="312"/>
      <c r="M58" s="310">
        <f>SUM(N58:O58)</f>
        <v>0</v>
      </c>
      <c r="N58" s="312"/>
      <c r="O58" s="310"/>
      <c r="P58" s="310"/>
      <c r="Q58" s="312"/>
      <c r="R58" s="312"/>
      <c r="S58" s="310"/>
      <c r="T58" s="310"/>
      <c r="U58" s="312"/>
      <c r="V58" s="312"/>
      <c r="W58" s="312"/>
      <c r="X58" s="310">
        <f>B58+F58+M58+S58+T58</f>
        <v>0</v>
      </c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</row>
    <row r="59" spans="1:36" s="344" customFormat="1" ht="56.25" customHeight="1">
      <c r="A59" s="448" t="s">
        <v>555</v>
      </c>
      <c r="B59" s="310"/>
      <c r="C59" s="312"/>
      <c r="D59" s="312"/>
      <c r="E59" s="310"/>
      <c r="F59" s="312">
        <f>SUM(G59:L59)</f>
        <v>500</v>
      </c>
      <c r="G59" s="312"/>
      <c r="H59" s="312"/>
      <c r="I59" s="312"/>
      <c r="J59" s="310"/>
      <c r="K59" s="312">
        <v>0</v>
      </c>
      <c r="L59" s="312">
        <v>500</v>
      </c>
      <c r="M59" s="310"/>
      <c r="N59" s="312"/>
      <c r="O59" s="310"/>
      <c r="P59" s="310"/>
      <c r="Q59" s="312"/>
      <c r="R59" s="312"/>
      <c r="S59" s="310"/>
      <c r="T59" s="310"/>
      <c r="U59" s="312"/>
      <c r="V59" s="312"/>
      <c r="W59" s="312"/>
      <c r="X59" s="312">
        <f>B59+F59+M59+S59+T59</f>
        <v>500</v>
      </c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</row>
    <row r="60" spans="1:36" s="344" customFormat="1" ht="71.25" customHeight="1">
      <c r="A60" s="448" t="s">
        <v>496</v>
      </c>
      <c r="B60" s="310"/>
      <c r="C60" s="312"/>
      <c r="D60" s="312"/>
      <c r="E60" s="310"/>
      <c r="F60" s="312">
        <f>K60+L60</f>
        <v>500</v>
      </c>
      <c r="G60" s="312"/>
      <c r="H60" s="312"/>
      <c r="I60" s="312"/>
      <c r="J60" s="310"/>
      <c r="K60" s="312">
        <v>0</v>
      </c>
      <c r="L60" s="312">
        <v>500</v>
      </c>
      <c r="M60" s="310"/>
      <c r="N60" s="312"/>
      <c r="O60" s="310"/>
      <c r="P60" s="310"/>
      <c r="Q60" s="312"/>
      <c r="R60" s="312"/>
      <c r="S60" s="310"/>
      <c r="T60" s="310"/>
      <c r="U60" s="312"/>
      <c r="V60" s="312"/>
      <c r="W60" s="312"/>
      <c r="X60" s="312">
        <f>F60</f>
        <v>500</v>
      </c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</row>
    <row r="61" spans="1:36" s="344" customFormat="1" ht="29.25" customHeight="1">
      <c r="A61" s="448" t="s">
        <v>106</v>
      </c>
      <c r="B61" s="310"/>
      <c r="C61" s="312"/>
      <c r="D61" s="312"/>
      <c r="E61" s="310"/>
      <c r="F61" s="312">
        <f>SUM(G61:L61)</f>
        <v>0</v>
      </c>
      <c r="G61" s="312"/>
      <c r="H61" s="312"/>
      <c r="I61" s="312"/>
      <c r="J61" s="310"/>
      <c r="K61" s="312">
        <v>0</v>
      </c>
      <c r="L61" s="312"/>
      <c r="M61" s="310"/>
      <c r="N61" s="312"/>
      <c r="O61" s="310"/>
      <c r="P61" s="310"/>
      <c r="Q61" s="312"/>
      <c r="R61" s="312"/>
      <c r="S61" s="310"/>
      <c r="T61" s="310">
        <f>SUM(U61)</f>
        <v>200</v>
      </c>
      <c r="U61" s="312">
        <v>200</v>
      </c>
      <c r="V61" s="312"/>
      <c r="W61" s="312"/>
      <c r="X61" s="312">
        <f>B61+F61+M61+S61+T61</f>
        <v>200</v>
      </c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</row>
    <row r="62" spans="1:36" s="344" customFormat="1" ht="37.5" customHeight="1">
      <c r="A62" s="448" t="s">
        <v>569</v>
      </c>
      <c r="B62" s="310"/>
      <c r="C62" s="312"/>
      <c r="D62" s="312"/>
      <c r="E62" s="310"/>
      <c r="F62" s="312">
        <f>SUM(G62:L62)</f>
        <v>600</v>
      </c>
      <c r="G62" s="312"/>
      <c r="H62" s="312"/>
      <c r="I62" s="312"/>
      <c r="J62" s="310"/>
      <c r="K62" s="312">
        <v>600</v>
      </c>
      <c r="L62" s="312"/>
      <c r="M62" s="310"/>
      <c r="N62" s="312"/>
      <c r="O62" s="310"/>
      <c r="P62" s="310"/>
      <c r="Q62" s="312"/>
      <c r="R62" s="312"/>
      <c r="S62" s="310"/>
      <c r="T62" s="310"/>
      <c r="U62" s="312"/>
      <c r="V62" s="312"/>
      <c r="W62" s="312"/>
      <c r="X62" s="312">
        <f>K62</f>
        <v>600</v>
      </c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</row>
    <row r="63" spans="1:36" s="344" customFormat="1" ht="37.5" customHeight="1">
      <c r="A63" s="448" t="s">
        <v>501</v>
      </c>
      <c r="B63" s="310"/>
      <c r="C63" s="312"/>
      <c r="D63" s="312"/>
      <c r="E63" s="310"/>
      <c r="F63" s="312">
        <f>K63+L63</f>
        <v>274</v>
      </c>
      <c r="G63" s="312"/>
      <c r="H63" s="312"/>
      <c r="I63" s="312"/>
      <c r="J63" s="310"/>
      <c r="K63" s="312"/>
      <c r="L63" s="312">
        <v>274</v>
      </c>
      <c r="M63" s="310"/>
      <c r="N63" s="312"/>
      <c r="O63" s="310"/>
      <c r="P63" s="310"/>
      <c r="Q63" s="312"/>
      <c r="R63" s="312"/>
      <c r="S63" s="310"/>
      <c r="T63" s="310"/>
      <c r="U63" s="312"/>
      <c r="V63" s="312"/>
      <c r="W63" s="312"/>
      <c r="X63" s="312">
        <f>F63</f>
        <v>274</v>
      </c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</row>
    <row r="64" spans="1:36" s="1" customFormat="1" ht="27.75" customHeight="1">
      <c r="A64" s="448" t="s">
        <v>477</v>
      </c>
      <c r="B64" s="310"/>
      <c r="C64" s="310"/>
      <c r="D64" s="310"/>
      <c r="E64" s="310">
        <f>H64</f>
        <v>0</v>
      </c>
      <c r="F64" s="526">
        <f>K64</f>
        <v>200</v>
      </c>
      <c r="G64" s="310"/>
      <c r="H64" s="310">
        <f>H58</f>
        <v>0</v>
      </c>
      <c r="I64" s="310"/>
      <c r="J64" s="310"/>
      <c r="K64" s="525">
        <v>200</v>
      </c>
      <c r="L64" s="310"/>
      <c r="M64" s="310">
        <f aca="true" t="shared" si="13" ref="M64:W64">SUM(M58:M61)</f>
        <v>0</v>
      </c>
      <c r="N64" s="310">
        <f t="shared" si="13"/>
        <v>0</v>
      </c>
      <c r="O64" s="310">
        <f t="shared" si="13"/>
        <v>0</v>
      </c>
      <c r="P64" s="310">
        <f t="shared" si="13"/>
        <v>0</v>
      </c>
      <c r="Q64" s="310">
        <f t="shared" si="13"/>
        <v>0</v>
      </c>
      <c r="R64" s="310"/>
      <c r="S64" s="310">
        <f t="shared" si="13"/>
        <v>0</v>
      </c>
      <c r="T64" s="310"/>
      <c r="U64" s="310"/>
      <c r="V64" s="310"/>
      <c r="W64" s="310">
        <f t="shared" si="13"/>
        <v>0</v>
      </c>
      <c r="X64" s="312">
        <f>F64</f>
        <v>200</v>
      </c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</row>
    <row r="65" spans="1:36" s="1" customFormat="1" ht="15.75">
      <c r="A65" s="323" t="s">
        <v>457</v>
      </c>
      <c r="B65" s="310"/>
      <c r="C65" s="310"/>
      <c r="D65" s="310"/>
      <c r="E65" s="310"/>
      <c r="F65" s="310">
        <f aca="true" t="shared" si="14" ref="F65:K65">SUM(F58:F64)</f>
        <v>2074</v>
      </c>
      <c r="G65" s="310">
        <f t="shared" si="14"/>
        <v>0</v>
      </c>
      <c r="H65" s="310">
        <f t="shared" si="14"/>
        <v>0</v>
      </c>
      <c r="I65" s="310">
        <f t="shared" si="14"/>
        <v>0</v>
      </c>
      <c r="J65" s="310">
        <f t="shared" si="14"/>
        <v>0</v>
      </c>
      <c r="K65" s="310">
        <f t="shared" si="14"/>
        <v>800</v>
      </c>
      <c r="L65" s="310">
        <f>L63+L60+L59</f>
        <v>1274</v>
      </c>
      <c r="M65" s="310">
        <f>N65</f>
        <v>0</v>
      </c>
      <c r="N65" s="310">
        <f>N56</f>
        <v>0</v>
      </c>
      <c r="O65" s="310"/>
      <c r="P65" s="310"/>
      <c r="Q65" s="310"/>
      <c r="R65" s="310"/>
      <c r="S65" s="310"/>
      <c r="T65" s="310">
        <f>T61</f>
        <v>200</v>
      </c>
      <c r="U65" s="310">
        <f>U61</f>
        <v>200</v>
      </c>
      <c r="V65" s="310"/>
      <c r="W65" s="310"/>
      <c r="X65" s="310">
        <f>F65+T65</f>
        <v>2274</v>
      </c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</row>
    <row r="66" spans="1:36" s="1" customFormat="1" ht="15.75">
      <c r="A66" s="323" t="s">
        <v>556</v>
      </c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</row>
    <row r="67" spans="1:36" s="1" customFormat="1" ht="30.75">
      <c r="A67" s="332" t="s">
        <v>557</v>
      </c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>
        <f>N67</f>
        <v>35038.4</v>
      </c>
      <c r="N67" s="310">
        <v>35038.4</v>
      </c>
      <c r="O67" s="310"/>
      <c r="P67" s="310"/>
      <c r="Q67" s="310"/>
      <c r="R67" s="310"/>
      <c r="S67" s="310"/>
      <c r="T67" s="310"/>
      <c r="U67" s="310"/>
      <c r="V67" s="310"/>
      <c r="W67" s="310"/>
      <c r="X67" s="310">
        <f>M67</f>
        <v>35038.4</v>
      </c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</row>
    <row r="68" spans="1:36" s="1" customFormat="1" ht="15.75">
      <c r="A68" s="323" t="s">
        <v>563</v>
      </c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>
        <f>M67</f>
        <v>35038.4</v>
      </c>
      <c r="N68" s="310">
        <f>N67</f>
        <v>35038.4</v>
      </c>
      <c r="O68" s="310"/>
      <c r="P68" s="310"/>
      <c r="Q68" s="310"/>
      <c r="R68" s="310"/>
      <c r="S68" s="310"/>
      <c r="T68" s="310"/>
      <c r="U68" s="310"/>
      <c r="V68" s="310"/>
      <c r="W68" s="310"/>
      <c r="X68" s="310">
        <f>M68</f>
        <v>35038.4</v>
      </c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</row>
    <row r="69" spans="1:36" s="47" customFormat="1" ht="17.25" customHeight="1">
      <c r="A69" s="346" t="s">
        <v>463</v>
      </c>
      <c r="B69" s="395"/>
      <c r="C69" s="524"/>
      <c r="D69" s="524"/>
      <c r="E69" s="395"/>
      <c r="F69" s="395">
        <f>F65+F56</f>
        <v>2074</v>
      </c>
      <c r="G69" s="524"/>
      <c r="H69" s="524"/>
      <c r="I69" s="524"/>
      <c r="J69" s="395"/>
      <c r="K69" s="395">
        <f>K65+K56</f>
        <v>800</v>
      </c>
      <c r="L69" s="524">
        <f>L65</f>
        <v>1274</v>
      </c>
      <c r="M69" s="524">
        <f>M68</f>
        <v>35038.4</v>
      </c>
      <c r="N69" s="524">
        <f>N68</f>
        <v>35038.4</v>
      </c>
      <c r="O69" s="395"/>
      <c r="P69" s="395"/>
      <c r="Q69" s="524"/>
      <c r="R69" s="524"/>
      <c r="S69" s="395"/>
      <c r="T69" s="395">
        <f>T61</f>
        <v>200</v>
      </c>
      <c r="U69" s="524">
        <f>U61</f>
        <v>200</v>
      </c>
      <c r="V69" s="524"/>
      <c r="W69" s="524"/>
      <c r="X69" s="395">
        <f>F69+T69+M69</f>
        <v>37312.4</v>
      </c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</row>
    <row r="70" spans="1:36" s="47" customFormat="1" ht="17.25" customHeight="1">
      <c r="A70" s="332" t="s">
        <v>564</v>
      </c>
      <c r="B70" s="310"/>
      <c r="C70" s="312"/>
      <c r="D70" s="312"/>
      <c r="E70" s="310"/>
      <c r="F70" s="310"/>
      <c r="G70" s="312"/>
      <c r="H70" s="312"/>
      <c r="I70" s="312"/>
      <c r="J70" s="310"/>
      <c r="K70" s="310"/>
      <c r="L70" s="312"/>
      <c r="M70" s="312"/>
      <c r="N70" s="312"/>
      <c r="O70" s="310"/>
      <c r="P70" s="310"/>
      <c r="Q70" s="312"/>
      <c r="R70" s="312"/>
      <c r="S70" s="310"/>
      <c r="T70" s="310"/>
      <c r="U70" s="312"/>
      <c r="V70" s="312"/>
      <c r="W70" s="312"/>
      <c r="X70" s="310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</row>
    <row r="71" spans="1:36" s="47" customFormat="1" ht="38.25" customHeight="1">
      <c r="A71" s="332" t="s">
        <v>532</v>
      </c>
      <c r="B71" s="310"/>
      <c r="C71" s="312"/>
      <c r="D71" s="312"/>
      <c r="E71" s="310"/>
      <c r="F71" s="310">
        <f>L71</f>
        <v>416</v>
      </c>
      <c r="G71" s="312"/>
      <c r="H71" s="312"/>
      <c r="I71" s="312"/>
      <c r="J71" s="310"/>
      <c r="K71" s="310"/>
      <c r="L71" s="312">
        <v>416</v>
      </c>
      <c r="M71" s="312"/>
      <c r="N71" s="312"/>
      <c r="O71" s="310"/>
      <c r="P71" s="310"/>
      <c r="Q71" s="312"/>
      <c r="R71" s="312"/>
      <c r="S71" s="310"/>
      <c r="T71" s="310"/>
      <c r="U71" s="312"/>
      <c r="V71" s="312"/>
      <c r="W71" s="312"/>
      <c r="X71" s="310">
        <f>F71</f>
        <v>416</v>
      </c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</row>
    <row r="72" spans="1:36" s="527" customFormat="1" ht="17.25" customHeight="1">
      <c r="A72" s="323" t="s">
        <v>565</v>
      </c>
      <c r="B72" s="310"/>
      <c r="C72" s="310"/>
      <c r="D72" s="310"/>
      <c r="E72" s="310"/>
      <c r="F72" s="310">
        <f>F71</f>
        <v>416</v>
      </c>
      <c r="G72" s="310"/>
      <c r="H72" s="310"/>
      <c r="I72" s="310"/>
      <c r="J72" s="310"/>
      <c r="K72" s="310"/>
      <c r="L72" s="310">
        <f>L71</f>
        <v>416</v>
      </c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>
        <f>X71</f>
        <v>416</v>
      </c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</row>
    <row r="73" spans="1:36" s="47" customFormat="1" ht="15.75" customHeight="1">
      <c r="A73" s="332" t="s">
        <v>460</v>
      </c>
      <c r="B73" s="312">
        <f>SUM(C73:D73)</f>
        <v>0</v>
      </c>
      <c r="C73" s="312"/>
      <c r="D73" s="312"/>
      <c r="E73" s="312"/>
      <c r="F73" s="312">
        <f>K73+G73+H73+I73+J73+L73</f>
        <v>0</v>
      </c>
      <c r="G73" s="312"/>
      <c r="H73" s="312"/>
      <c r="I73" s="312">
        <v>0</v>
      </c>
      <c r="J73" s="312"/>
      <c r="K73" s="312"/>
      <c r="L73" s="312"/>
      <c r="M73" s="312">
        <f>SUM(O73)</f>
        <v>0</v>
      </c>
      <c r="N73" s="312"/>
      <c r="O73" s="312"/>
      <c r="P73" s="312"/>
      <c r="Q73" s="312"/>
      <c r="R73" s="312"/>
      <c r="S73" s="312"/>
      <c r="T73" s="312">
        <f>SUM(U73:W73)</f>
        <v>0</v>
      </c>
      <c r="U73" s="312"/>
      <c r="V73" s="312"/>
      <c r="W73" s="312"/>
      <c r="X73" s="312">
        <f>B73+F73+M73+S73+T73</f>
        <v>0</v>
      </c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</row>
    <row r="74" spans="1:36" s="47" customFormat="1" ht="24" customHeight="1">
      <c r="A74" s="327" t="s">
        <v>571</v>
      </c>
      <c r="B74" s="312">
        <f>SUM(B73)</f>
        <v>0</v>
      </c>
      <c r="C74" s="312">
        <f aca="true" t="shared" si="15" ref="C74:W74">SUM(C73)</f>
        <v>0</v>
      </c>
      <c r="D74" s="312">
        <f t="shared" si="15"/>
        <v>0</v>
      </c>
      <c r="E74" s="312">
        <f t="shared" si="15"/>
        <v>0</v>
      </c>
      <c r="F74" s="312">
        <f>K74</f>
        <v>200</v>
      </c>
      <c r="G74" s="312">
        <f t="shared" si="15"/>
        <v>0</v>
      </c>
      <c r="H74" s="312">
        <f t="shared" si="15"/>
        <v>0</v>
      </c>
      <c r="I74" s="312">
        <f t="shared" si="15"/>
        <v>0</v>
      </c>
      <c r="J74" s="312">
        <f t="shared" si="15"/>
        <v>0</v>
      </c>
      <c r="K74" s="312">
        <v>200</v>
      </c>
      <c r="L74" s="312">
        <f t="shared" si="15"/>
        <v>0</v>
      </c>
      <c r="M74" s="168"/>
      <c r="N74" s="168"/>
      <c r="O74" s="168"/>
      <c r="P74" s="312">
        <f t="shared" si="15"/>
        <v>0</v>
      </c>
      <c r="Q74" s="312">
        <f t="shared" si="15"/>
        <v>0</v>
      </c>
      <c r="R74" s="312"/>
      <c r="S74" s="312">
        <f t="shared" si="15"/>
        <v>0</v>
      </c>
      <c r="T74" s="312">
        <f t="shared" si="15"/>
        <v>0</v>
      </c>
      <c r="U74" s="312">
        <f t="shared" si="15"/>
        <v>0</v>
      </c>
      <c r="V74" s="312"/>
      <c r="W74" s="312">
        <f t="shared" si="15"/>
        <v>0</v>
      </c>
      <c r="X74" s="312">
        <f>F74</f>
        <v>200</v>
      </c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</row>
    <row r="75" spans="1:36" s="47" customFormat="1" ht="23.25" customHeight="1">
      <c r="A75" s="323" t="s">
        <v>461</v>
      </c>
      <c r="B75" s="310"/>
      <c r="C75" s="310"/>
      <c r="D75" s="310"/>
      <c r="E75" s="310"/>
      <c r="F75" s="310">
        <f>F74</f>
        <v>200</v>
      </c>
      <c r="G75" s="310"/>
      <c r="H75" s="310"/>
      <c r="I75" s="310"/>
      <c r="J75" s="310"/>
      <c r="K75" s="310">
        <f>K74</f>
        <v>200</v>
      </c>
      <c r="L75" s="310"/>
      <c r="M75" s="168"/>
      <c r="N75" s="168"/>
      <c r="O75" s="168"/>
      <c r="P75" s="310"/>
      <c r="Q75" s="310"/>
      <c r="R75" s="310"/>
      <c r="S75" s="310"/>
      <c r="T75" s="310"/>
      <c r="U75" s="310"/>
      <c r="V75" s="310"/>
      <c r="W75" s="310"/>
      <c r="X75" s="310">
        <f>F75</f>
        <v>200</v>
      </c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</row>
    <row r="76" spans="1:36" s="47" customFormat="1" ht="23.25" customHeight="1">
      <c r="A76" s="323" t="s">
        <v>570</v>
      </c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</row>
    <row r="77" spans="1:36" s="47" customFormat="1" ht="23.25" customHeight="1">
      <c r="A77" s="332" t="s">
        <v>71</v>
      </c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2">
        <f>O77</f>
        <v>347</v>
      </c>
      <c r="N77" s="312">
        <f>SUM(N73)</f>
        <v>0</v>
      </c>
      <c r="O77" s="312">
        <v>347</v>
      </c>
      <c r="P77" s="310"/>
      <c r="Q77" s="310"/>
      <c r="R77" s="310"/>
      <c r="S77" s="310"/>
      <c r="T77" s="310"/>
      <c r="U77" s="310"/>
      <c r="V77" s="310"/>
      <c r="W77" s="310"/>
      <c r="X77" s="310">
        <f>M77</f>
        <v>347</v>
      </c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</row>
    <row r="78" spans="1:36" s="47" customFormat="1" ht="23.25" customHeight="1">
      <c r="A78" s="323" t="s">
        <v>572</v>
      </c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>
        <f>M77</f>
        <v>347</v>
      </c>
      <c r="N78" s="310"/>
      <c r="O78" s="310">
        <f>O77</f>
        <v>347</v>
      </c>
      <c r="P78" s="310"/>
      <c r="Q78" s="310"/>
      <c r="R78" s="310"/>
      <c r="S78" s="310"/>
      <c r="T78" s="310"/>
      <c r="U78" s="310"/>
      <c r="V78" s="310"/>
      <c r="W78" s="310"/>
      <c r="X78" s="310">
        <f>M78</f>
        <v>347</v>
      </c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</row>
    <row r="79" spans="1:36" s="47" customFormat="1" ht="32.25" customHeight="1">
      <c r="A79" s="332" t="s">
        <v>722</v>
      </c>
      <c r="B79" s="310"/>
      <c r="C79" s="310"/>
      <c r="D79" s="310"/>
      <c r="E79" s="310"/>
      <c r="F79" s="310">
        <f>K79</f>
        <v>0</v>
      </c>
      <c r="G79" s="310"/>
      <c r="H79" s="310"/>
      <c r="I79" s="310"/>
      <c r="J79" s="310"/>
      <c r="K79" s="310"/>
      <c r="L79" s="310"/>
      <c r="M79" s="310">
        <f>O79</f>
        <v>0</v>
      </c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>
        <f>B79+F79+M79+S79+T79</f>
        <v>0</v>
      </c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</row>
    <row r="80" spans="1:36" s="47" customFormat="1" ht="42" customHeight="1">
      <c r="A80" s="332" t="s">
        <v>494</v>
      </c>
      <c r="B80" s="312"/>
      <c r="C80" s="312"/>
      <c r="D80" s="312"/>
      <c r="E80" s="312"/>
      <c r="F80" s="312">
        <f>L80</f>
        <v>150</v>
      </c>
      <c r="G80" s="312"/>
      <c r="H80" s="312"/>
      <c r="I80" s="312"/>
      <c r="J80" s="312"/>
      <c r="K80" s="312"/>
      <c r="L80" s="312">
        <v>150</v>
      </c>
      <c r="M80" s="312">
        <f>O80</f>
        <v>0</v>
      </c>
      <c r="N80" s="312"/>
      <c r="O80" s="312">
        <v>0</v>
      </c>
      <c r="P80" s="312"/>
      <c r="Q80" s="312"/>
      <c r="R80" s="312"/>
      <c r="S80" s="312"/>
      <c r="T80" s="312">
        <f>U80</f>
        <v>100</v>
      </c>
      <c r="U80" s="312">
        <v>100</v>
      </c>
      <c r="V80" s="312"/>
      <c r="W80" s="312"/>
      <c r="X80" s="312">
        <f>B80+F80+M80+S80+T80</f>
        <v>250</v>
      </c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</row>
    <row r="81" spans="1:36" s="400" customFormat="1" ht="18" customHeight="1">
      <c r="A81" s="323" t="s">
        <v>723</v>
      </c>
      <c r="B81" s="310"/>
      <c r="C81" s="310"/>
      <c r="D81" s="310"/>
      <c r="E81" s="310"/>
      <c r="F81" s="310">
        <f>F80</f>
        <v>150</v>
      </c>
      <c r="G81" s="310"/>
      <c r="H81" s="310"/>
      <c r="I81" s="310"/>
      <c r="J81" s="310"/>
      <c r="K81" s="310"/>
      <c r="L81" s="310">
        <f>L80</f>
        <v>150</v>
      </c>
      <c r="M81" s="310">
        <f>M80</f>
        <v>0</v>
      </c>
      <c r="N81" s="310"/>
      <c r="O81" s="310">
        <f>O80</f>
        <v>0</v>
      </c>
      <c r="P81" s="310"/>
      <c r="Q81" s="310"/>
      <c r="R81" s="310"/>
      <c r="S81" s="310"/>
      <c r="T81" s="310">
        <f>T80</f>
        <v>100</v>
      </c>
      <c r="U81" s="310">
        <f>U80</f>
        <v>100</v>
      </c>
      <c r="V81" s="310"/>
      <c r="W81" s="310"/>
      <c r="X81" s="310">
        <f>F81+T81</f>
        <v>250</v>
      </c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</row>
    <row r="82" spans="1:36" s="1" customFormat="1" ht="28.5" customHeight="1">
      <c r="A82" s="323" t="s">
        <v>517</v>
      </c>
      <c r="B82" s="310"/>
      <c r="C82" s="310"/>
      <c r="D82" s="310"/>
      <c r="E82" s="310"/>
      <c r="F82" s="310">
        <f>L82</f>
        <v>0</v>
      </c>
      <c r="G82" s="310"/>
      <c r="H82" s="310"/>
      <c r="I82" s="310"/>
      <c r="J82" s="310"/>
      <c r="K82" s="310"/>
      <c r="L82" s="310"/>
      <c r="M82" s="310">
        <f>O82</f>
        <v>0</v>
      </c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>
        <f>F82+M82</f>
        <v>0</v>
      </c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</row>
    <row r="83" spans="1:36" s="1" customFormat="1" ht="30.75">
      <c r="A83" s="332" t="s">
        <v>573</v>
      </c>
      <c r="B83" s="310"/>
      <c r="C83" s="312"/>
      <c r="D83" s="312"/>
      <c r="E83" s="310"/>
      <c r="F83" s="310">
        <f>L83</f>
        <v>20</v>
      </c>
      <c r="G83" s="312"/>
      <c r="H83" s="312"/>
      <c r="I83" s="312"/>
      <c r="J83" s="310"/>
      <c r="K83" s="312"/>
      <c r="L83" s="312">
        <v>20</v>
      </c>
      <c r="M83" s="312">
        <f>O83</f>
        <v>140</v>
      </c>
      <c r="N83" s="312"/>
      <c r="O83" s="312">
        <v>140</v>
      </c>
      <c r="P83" s="310"/>
      <c r="Q83" s="312"/>
      <c r="R83" s="312"/>
      <c r="S83" s="310"/>
      <c r="T83" s="310"/>
      <c r="U83" s="312"/>
      <c r="V83" s="312"/>
      <c r="W83" s="312"/>
      <c r="X83" s="312">
        <f>M83+F83</f>
        <v>160</v>
      </c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</row>
    <row r="84" spans="1:36" s="400" customFormat="1" ht="15.75">
      <c r="A84" s="323" t="s">
        <v>533</v>
      </c>
      <c r="B84" s="310"/>
      <c r="C84" s="310"/>
      <c r="D84" s="310"/>
      <c r="E84" s="310"/>
      <c r="F84" s="310">
        <f>F83</f>
        <v>20</v>
      </c>
      <c r="G84" s="310"/>
      <c r="H84" s="310"/>
      <c r="I84" s="310"/>
      <c r="J84" s="310"/>
      <c r="K84" s="310"/>
      <c r="L84" s="310">
        <f>L83</f>
        <v>20</v>
      </c>
      <c r="M84" s="310">
        <f>M83</f>
        <v>140</v>
      </c>
      <c r="N84" s="310"/>
      <c r="O84" s="310">
        <f>O83</f>
        <v>140</v>
      </c>
      <c r="P84" s="310"/>
      <c r="Q84" s="310"/>
      <c r="R84" s="310"/>
      <c r="S84" s="310"/>
      <c r="T84" s="310"/>
      <c r="U84" s="310"/>
      <c r="V84" s="310"/>
      <c r="W84" s="310"/>
      <c r="X84" s="310">
        <f>X83</f>
        <v>160</v>
      </c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</row>
    <row r="85" spans="1:36" s="47" customFormat="1" ht="25.5" customHeight="1">
      <c r="A85" s="323" t="s">
        <v>458</v>
      </c>
      <c r="B85" s="310"/>
      <c r="C85" s="312"/>
      <c r="D85" s="312"/>
      <c r="E85" s="310"/>
      <c r="F85" s="310">
        <f>SUM(G85:L85)</f>
        <v>0</v>
      </c>
      <c r="G85" s="312"/>
      <c r="H85" s="312"/>
      <c r="I85" s="312"/>
      <c r="J85" s="310"/>
      <c r="K85" s="312"/>
      <c r="L85" s="312">
        <v>0</v>
      </c>
      <c r="M85" s="310">
        <f>SUM(N85:O85)</f>
        <v>0</v>
      </c>
      <c r="N85" s="312">
        <v>0</v>
      </c>
      <c r="O85" s="312">
        <v>0</v>
      </c>
      <c r="P85" s="310"/>
      <c r="Q85" s="312"/>
      <c r="R85" s="312"/>
      <c r="S85" s="310"/>
      <c r="T85" s="310">
        <f>SUM(U85:W85)</f>
        <v>0</v>
      </c>
      <c r="U85" s="312"/>
      <c r="V85" s="312"/>
      <c r="W85" s="312">
        <v>0</v>
      </c>
      <c r="X85" s="310">
        <f>B85+F85+M85+S85+T85</f>
        <v>0</v>
      </c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</row>
    <row r="86" spans="1:36" s="1" customFormat="1" ht="52.5" customHeight="1">
      <c r="A86" s="327" t="s">
        <v>498</v>
      </c>
      <c r="B86" s="310"/>
      <c r="C86" s="310"/>
      <c r="D86" s="310"/>
      <c r="E86" s="310"/>
      <c r="F86" s="310">
        <f>L86</f>
        <v>0</v>
      </c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>
        <f>U86</f>
        <v>90</v>
      </c>
      <c r="U86" s="310">
        <v>90</v>
      </c>
      <c r="V86" s="310"/>
      <c r="W86" s="310"/>
      <c r="X86" s="310">
        <f>T86</f>
        <v>90</v>
      </c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</row>
    <row r="87" spans="1:24" ht="33" customHeight="1">
      <c r="A87" s="332" t="s">
        <v>497</v>
      </c>
      <c r="B87" s="528"/>
      <c r="C87" s="361"/>
      <c r="D87" s="361"/>
      <c r="E87" s="361"/>
      <c r="F87" s="46">
        <f>L87</f>
        <v>50</v>
      </c>
      <c r="G87" s="361"/>
      <c r="H87" s="361"/>
      <c r="I87" s="361"/>
      <c r="J87" s="361"/>
      <c r="K87" s="361"/>
      <c r="L87" s="361">
        <v>50</v>
      </c>
      <c r="M87" s="361"/>
      <c r="N87" s="361"/>
      <c r="O87" s="361"/>
      <c r="P87" s="361"/>
      <c r="Q87" s="361"/>
      <c r="R87" s="361"/>
      <c r="S87" s="361"/>
      <c r="T87" s="529"/>
      <c r="U87" s="361"/>
      <c r="V87" s="361"/>
      <c r="W87" s="361"/>
      <c r="X87" s="529">
        <f>F87</f>
        <v>50</v>
      </c>
    </row>
    <row r="88" spans="1:36" s="47" customFormat="1" ht="45.75" customHeight="1">
      <c r="A88" s="329" t="s">
        <v>503</v>
      </c>
      <c r="B88" s="310"/>
      <c r="C88" s="312"/>
      <c r="D88" s="312"/>
      <c r="E88" s="310"/>
      <c r="F88" s="312">
        <f>SUM(G88:L88)</f>
        <v>205</v>
      </c>
      <c r="G88" s="312"/>
      <c r="H88" s="312"/>
      <c r="I88" s="312"/>
      <c r="J88" s="310"/>
      <c r="K88" s="312"/>
      <c r="L88" s="312">
        <v>205</v>
      </c>
      <c r="M88" s="310">
        <f>SUM(N88:O88)</f>
        <v>0</v>
      </c>
      <c r="N88" s="312">
        <v>0</v>
      </c>
      <c r="O88" s="312">
        <v>0</v>
      </c>
      <c r="P88" s="310"/>
      <c r="Q88" s="312"/>
      <c r="R88" s="312"/>
      <c r="S88" s="310"/>
      <c r="T88" s="310">
        <f>SUM(U88:W88)</f>
        <v>10</v>
      </c>
      <c r="U88" s="312"/>
      <c r="V88" s="312"/>
      <c r="W88" s="312">
        <v>10</v>
      </c>
      <c r="X88" s="310">
        <f>B88+F88+M88+S88+T88</f>
        <v>215</v>
      </c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</row>
    <row r="89" spans="1:36" s="1" customFormat="1" ht="29.25" customHeight="1">
      <c r="A89" s="323" t="s">
        <v>459</v>
      </c>
      <c r="B89" s="310">
        <f>SUM(B88)</f>
        <v>0</v>
      </c>
      <c r="C89" s="310">
        <f>SUM(C88)</f>
        <v>0</v>
      </c>
      <c r="D89" s="310">
        <f>SUM(D88)</f>
        <v>0</v>
      </c>
      <c r="E89" s="310">
        <f>SUM(E88)</f>
        <v>0</v>
      </c>
      <c r="F89" s="310">
        <f>SUM(F85:F88)</f>
        <v>255</v>
      </c>
      <c r="G89" s="310">
        <f aca="true" t="shared" si="16" ref="G89:X89">SUM(G85:G88)</f>
        <v>0</v>
      </c>
      <c r="H89" s="310">
        <f t="shared" si="16"/>
        <v>0</v>
      </c>
      <c r="I89" s="310">
        <f t="shared" si="16"/>
        <v>0</v>
      </c>
      <c r="J89" s="310">
        <f t="shared" si="16"/>
        <v>0</v>
      </c>
      <c r="K89" s="310">
        <f t="shared" si="16"/>
        <v>0</v>
      </c>
      <c r="L89" s="310">
        <f t="shared" si="16"/>
        <v>255</v>
      </c>
      <c r="M89" s="310"/>
      <c r="N89" s="310">
        <f t="shared" si="16"/>
        <v>0</v>
      </c>
      <c r="O89" s="310">
        <f t="shared" si="16"/>
        <v>0</v>
      </c>
      <c r="P89" s="310">
        <f t="shared" si="16"/>
        <v>0</v>
      </c>
      <c r="Q89" s="310">
        <f t="shared" si="16"/>
        <v>0</v>
      </c>
      <c r="R89" s="310">
        <f t="shared" si="16"/>
        <v>0</v>
      </c>
      <c r="S89" s="310">
        <f t="shared" si="16"/>
        <v>0</v>
      </c>
      <c r="T89" s="310">
        <f t="shared" si="16"/>
        <v>100</v>
      </c>
      <c r="U89" s="310">
        <f t="shared" si="16"/>
        <v>90</v>
      </c>
      <c r="V89" s="310">
        <f t="shared" si="16"/>
        <v>0</v>
      </c>
      <c r="W89" s="310">
        <f t="shared" si="16"/>
        <v>10</v>
      </c>
      <c r="X89" s="310">
        <f t="shared" si="16"/>
        <v>355</v>
      </c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</row>
    <row r="90" spans="19:24" ht="15.75" hidden="1">
      <c r="S90" s="10"/>
      <c r="T90" s="11"/>
      <c r="V90" s="10"/>
      <c r="X90" s="11"/>
    </row>
    <row r="91" spans="19:24" ht="15.75" hidden="1">
      <c r="S91" s="10"/>
      <c r="T91" s="11"/>
      <c r="V91" s="10"/>
      <c r="X91" s="11"/>
    </row>
    <row r="92" spans="1:36" s="532" customFormat="1" ht="29.25" customHeight="1">
      <c r="A92" s="530" t="s">
        <v>534</v>
      </c>
      <c r="B92" s="395">
        <f>B64+B56+B89+B74</f>
        <v>0</v>
      </c>
      <c r="C92" s="395">
        <f>C64+C56+C89+C74</f>
        <v>0</v>
      </c>
      <c r="D92" s="395">
        <f>D64+D56+D89+D74</f>
        <v>0</v>
      </c>
      <c r="E92" s="395">
        <f>E64+E56+E89+E74</f>
        <v>0</v>
      </c>
      <c r="F92" s="395">
        <f aca="true" t="shared" si="17" ref="F92:K92">F75+F81+F84+F89+F72</f>
        <v>1041</v>
      </c>
      <c r="G92" s="395">
        <f t="shared" si="17"/>
        <v>0</v>
      </c>
      <c r="H92" s="395">
        <f t="shared" si="17"/>
        <v>0</v>
      </c>
      <c r="I92" s="395">
        <f t="shared" si="17"/>
        <v>0</v>
      </c>
      <c r="J92" s="395">
        <f t="shared" si="17"/>
        <v>0</v>
      </c>
      <c r="K92" s="395">
        <f t="shared" si="17"/>
        <v>200</v>
      </c>
      <c r="L92" s="395">
        <f>L75+L81+L84+L89+L72</f>
        <v>841</v>
      </c>
      <c r="M92" s="395">
        <f>M89+M80+M77+M84</f>
        <v>487</v>
      </c>
      <c r="N92" s="395">
        <f>N89+N80+N77+N84</f>
        <v>0</v>
      </c>
      <c r="O92" s="395">
        <f>O89+O80+O77+O84</f>
        <v>487</v>
      </c>
      <c r="P92" s="395">
        <f>P89+P82+P80+P74+P86</f>
        <v>0</v>
      </c>
      <c r="Q92" s="395">
        <f>Q89+Q82+Q80+Q74+Q86</f>
        <v>0</v>
      </c>
      <c r="R92" s="395">
        <f>R89+R82+R80+R74+R86</f>
        <v>0</v>
      </c>
      <c r="S92" s="395">
        <f>S89+S82+S80+S74+S86</f>
        <v>0</v>
      </c>
      <c r="T92" s="395">
        <f>T89+T82+T80+T74</f>
        <v>200</v>
      </c>
      <c r="U92" s="395">
        <f>U89+U82+U80+U74</f>
        <v>190</v>
      </c>
      <c r="V92" s="395">
        <f>V89+V82+V80+V74+V86</f>
        <v>0</v>
      </c>
      <c r="W92" s="395">
        <f>W89+W82+W80+W74+W86</f>
        <v>10</v>
      </c>
      <c r="X92" s="395">
        <f>F92+M92+T92</f>
        <v>1728</v>
      </c>
      <c r="Y92" s="531"/>
      <c r="Z92" s="531"/>
      <c r="AA92" s="531"/>
      <c r="AB92" s="531"/>
      <c r="AC92" s="531"/>
      <c r="AD92" s="531"/>
      <c r="AE92" s="531"/>
      <c r="AF92" s="531"/>
      <c r="AG92" s="531"/>
      <c r="AH92" s="531"/>
      <c r="AI92" s="531"/>
      <c r="AJ92" s="531"/>
    </row>
    <row r="93" spans="1:36" s="43" customFormat="1" ht="21" customHeight="1" hidden="1">
      <c r="A93" s="347" t="s">
        <v>462</v>
      </c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</row>
    <row r="94" spans="1:36" s="43" customFormat="1" ht="21" customHeight="1" hidden="1">
      <c r="A94" s="345"/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28"/>
      <c r="Z94" s="328"/>
      <c r="AA94" s="328"/>
      <c r="AB94" s="328"/>
      <c r="AC94" s="328"/>
      <c r="AD94" s="328"/>
      <c r="AE94" s="328"/>
      <c r="AF94" s="328"/>
      <c r="AG94" s="328"/>
      <c r="AH94" s="328"/>
      <c r="AI94" s="328"/>
      <c r="AJ94" s="328"/>
    </row>
    <row r="95" spans="1:36" s="43" customFormat="1" ht="21" customHeight="1" hidden="1">
      <c r="A95" s="345"/>
      <c r="B95" s="310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</row>
    <row r="96" spans="1:36" s="162" customFormat="1" ht="22.5" customHeight="1">
      <c r="A96" s="278" t="s">
        <v>464</v>
      </c>
      <c r="B96" s="310"/>
      <c r="C96" s="312"/>
      <c r="D96" s="312"/>
      <c r="E96" s="312"/>
      <c r="F96" s="310"/>
      <c r="G96" s="312"/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2"/>
      <c r="S96" s="312"/>
      <c r="T96" s="312"/>
      <c r="U96" s="312"/>
      <c r="V96" s="312"/>
      <c r="W96" s="312"/>
      <c r="X96" s="310">
        <f aca="true" t="shared" si="18" ref="X96:X101">B96+F96+M96+S96+T96</f>
        <v>0</v>
      </c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</row>
    <row r="97" spans="1:36" s="162" customFormat="1" ht="27" customHeight="1">
      <c r="A97" s="394" t="s">
        <v>236</v>
      </c>
      <c r="B97" s="310">
        <f>SUM(C97:E97)</f>
        <v>1175</v>
      </c>
      <c r="C97" s="312">
        <f>'свод бюджет'!C115</f>
        <v>915</v>
      </c>
      <c r="D97" s="312">
        <v>2</v>
      </c>
      <c r="E97" s="312">
        <v>258</v>
      </c>
      <c r="F97" s="310">
        <f>SUM(G97:L97)</f>
        <v>710.8</v>
      </c>
      <c r="G97" s="312">
        <v>7</v>
      </c>
      <c r="H97" s="312">
        <v>6</v>
      </c>
      <c r="I97" s="312">
        <v>346.8</v>
      </c>
      <c r="J97" s="312"/>
      <c r="K97" s="312">
        <v>227</v>
      </c>
      <c r="L97" s="312">
        <v>124</v>
      </c>
      <c r="M97" s="312"/>
      <c r="N97" s="312"/>
      <c r="O97" s="312"/>
      <c r="P97" s="312"/>
      <c r="Q97" s="312"/>
      <c r="R97" s="312"/>
      <c r="S97" s="312">
        <f>'свод предпрен'!Q12+'свод бюджет'!U115</f>
        <v>20</v>
      </c>
      <c r="T97" s="312">
        <f>SUM(U97:W97)</f>
        <v>129</v>
      </c>
      <c r="U97" s="312">
        <f>'свод предпрен'!S12+'свод бюджет'!W115</f>
        <v>62</v>
      </c>
      <c r="V97" s="312"/>
      <c r="W97" s="312">
        <f>'свод предпрен'!T12+'свод бюджет'!Y115</f>
        <v>67</v>
      </c>
      <c r="X97" s="310">
        <f t="shared" si="18"/>
        <v>2034.8</v>
      </c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</row>
    <row r="98" spans="1:36" s="244" customFormat="1" ht="25.5" customHeight="1">
      <c r="A98" s="349" t="s">
        <v>256</v>
      </c>
      <c r="B98" s="395">
        <f>SUM(B97)</f>
        <v>1175</v>
      </c>
      <c r="C98" s="395">
        <f aca="true" t="shared" si="19" ref="C98:W98">SUM(C97)</f>
        <v>915</v>
      </c>
      <c r="D98" s="395">
        <f t="shared" si="19"/>
        <v>2</v>
      </c>
      <c r="E98" s="395">
        <f t="shared" si="19"/>
        <v>258</v>
      </c>
      <c r="F98" s="395">
        <f t="shared" si="19"/>
        <v>710.8</v>
      </c>
      <c r="G98" s="395">
        <f t="shared" si="19"/>
        <v>7</v>
      </c>
      <c r="H98" s="395">
        <f t="shared" si="19"/>
        <v>6</v>
      </c>
      <c r="I98" s="395">
        <f t="shared" si="19"/>
        <v>346.8</v>
      </c>
      <c r="J98" s="395">
        <f t="shared" si="19"/>
        <v>0</v>
      </c>
      <c r="K98" s="395">
        <f t="shared" si="19"/>
        <v>227</v>
      </c>
      <c r="L98" s="395">
        <f t="shared" si="19"/>
        <v>124</v>
      </c>
      <c r="M98" s="395"/>
      <c r="N98" s="395"/>
      <c r="O98" s="395"/>
      <c r="P98" s="395"/>
      <c r="Q98" s="395">
        <f t="shared" si="19"/>
        <v>0</v>
      </c>
      <c r="R98" s="395"/>
      <c r="S98" s="395">
        <f t="shared" si="19"/>
        <v>20</v>
      </c>
      <c r="T98" s="395">
        <f t="shared" si="19"/>
        <v>129</v>
      </c>
      <c r="U98" s="395">
        <f t="shared" si="19"/>
        <v>62</v>
      </c>
      <c r="V98" s="395"/>
      <c r="W98" s="395">
        <f t="shared" si="19"/>
        <v>67</v>
      </c>
      <c r="X98" s="395">
        <f t="shared" si="18"/>
        <v>2034.8</v>
      </c>
      <c r="Y98" s="330"/>
      <c r="Z98" s="331"/>
      <c r="AA98" s="331"/>
      <c r="AB98" s="331"/>
      <c r="AC98" s="331"/>
      <c r="AD98" s="331"/>
      <c r="AE98" s="331"/>
      <c r="AF98" s="331"/>
      <c r="AG98" s="331"/>
      <c r="AH98" s="331"/>
      <c r="AI98" s="331"/>
      <c r="AJ98" s="331"/>
    </row>
    <row r="99" spans="1:24" s="40" customFormat="1" ht="21" customHeight="1">
      <c r="A99" s="278" t="s">
        <v>616</v>
      </c>
      <c r="B99" s="324"/>
      <c r="C99" s="312"/>
      <c r="D99" s="312"/>
      <c r="E99" s="312"/>
      <c r="F99" s="324"/>
      <c r="G99" s="312"/>
      <c r="H99" s="312"/>
      <c r="I99" s="312"/>
      <c r="J99" s="312"/>
      <c r="K99" s="312"/>
      <c r="L99" s="312"/>
      <c r="M99" s="312"/>
      <c r="N99" s="312"/>
      <c r="O99" s="324"/>
      <c r="P99" s="324"/>
      <c r="Q99" s="312"/>
      <c r="R99" s="312"/>
      <c r="S99" s="310"/>
      <c r="T99" s="310"/>
      <c r="U99" s="312"/>
      <c r="V99" s="312"/>
      <c r="W99" s="312"/>
      <c r="X99" s="310">
        <f t="shared" si="18"/>
        <v>0</v>
      </c>
    </row>
    <row r="100" spans="1:24" s="40" customFormat="1" ht="34.5" customHeight="1">
      <c r="A100" s="392" t="s">
        <v>475</v>
      </c>
      <c r="B100" s="324">
        <f>SUM(C100:D100)</f>
        <v>0</v>
      </c>
      <c r="C100" s="312"/>
      <c r="D100" s="312"/>
      <c r="E100" s="312"/>
      <c r="F100" s="324">
        <f>SUM(G100:L100)</f>
        <v>45</v>
      </c>
      <c r="G100" s="312"/>
      <c r="H100" s="312">
        <v>35</v>
      </c>
      <c r="I100" s="312"/>
      <c r="J100" s="312"/>
      <c r="K100" s="312">
        <v>0</v>
      </c>
      <c r="L100" s="312">
        <v>10</v>
      </c>
      <c r="M100" s="312"/>
      <c r="N100" s="312"/>
      <c r="O100" s="324"/>
      <c r="P100" s="324"/>
      <c r="Q100" s="312"/>
      <c r="R100" s="312"/>
      <c r="S100" s="312">
        <v>90</v>
      </c>
      <c r="T100" s="310">
        <f>SUM(U100:W100)</f>
        <v>50</v>
      </c>
      <c r="U100" s="312"/>
      <c r="V100" s="312"/>
      <c r="W100" s="312">
        <v>50</v>
      </c>
      <c r="X100" s="310">
        <f t="shared" si="18"/>
        <v>185</v>
      </c>
    </row>
    <row r="101" spans="1:24" s="41" customFormat="1" ht="32.25" customHeight="1">
      <c r="A101" s="352" t="s">
        <v>465</v>
      </c>
      <c r="B101" s="395">
        <f>SUM(B100)</f>
        <v>0</v>
      </c>
      <c r="C101" s="395">
        <f aca="true" t="shared" si="20" ref="C101:Q101">SUM(C100)</f>
        <v>0</v>
      </c>
      <c r="D101" s="395">
        <f t="shared" si="20"/>
        <v>0</v>
      </c>
      <c r="E101" s="395">
        <f t="shared" si="20"/>
        <v>0</v>
      </c>
      <c r="F101" s="395">
        <f t="shared" si="20"/>
        <v>45</v>
      </c>
      <c r="G101" s="395">
        <f t="shared" si="20"/>
        <v>0</v>
      </c>
      <c r="H101" s="395">
        <f t="shared" si="20"/>
        <v>35</v>
      </c>
      <c r="I101" s="395">
        <f t="shared" si="20"/>
        <v>0</v>
      </c>
      <c r="J101" s="395">
        <f t="shared" si="20"/>
        <v>0</v>
      </c>
      <c r="K101" s="395">
        <f t="shared" si="20"/>
        <v>0</v>
      </c>
      <c r="L101" s="395">
        <f t="shared" si="20"/>
        <v>10</v>
      </c>
      <c r="M101" s="395"/>
      <c r="N101" s="395"/>
      <c r="O101" s="395"/>
      <c r="P101" s="395"/>
      <c r="Q101" s="395">
        <f t="shared" si="20"/>
        <v>0</v>
      </c>
      <c r="R101" s="395"/>
      <c r="S101" s="395">
        <f>SUM(S100:S100)</f>
        <v>90</v>
      </c>
      <c r="T101" s="395">
        <f>SUM(T100:T100)</f>
        <v>50</v>
      </c>
      <c r="U101" s="395">
        <f>SUM(U100:U100)</f>
        <v>0</v>
      </c>
      <c r="V101" s="395"/>
      <c r="W101" s="395">
        <f>SUM(W100:W100)</f>
        <v>50</v>
      </c>
      <c r="X101" s="395">
        <f t="shared" si="18"/>
        <v>185</v>
      </c>
    </row>
    <row r="102" spans="1:24" s="41" customFormat="1" ht="17.25" customHeight="1">
      <c r="A102" s="278" t="s">
        <v>466</v>
      </c>
      <c r="B102" s="310"/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310"/>
      <c r="X102" s="310"/>
    </row>
    <row r="103" spans="1:24" s="41" customFormat="1" ht="58.5" customHeight="1">
      <c r="A103" s="93" t="s">
        <v>574</v>
      </c>
      <c r="B103" s="310"/>
      <c r="C103" s="310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>
        <f>R103</f>
        <v>31</v>
      </c>
      <c r="R103" s="312">
        <v>31</v>
      </c>
      <c r="S103" s="310"/>
      <c r="T103" s="310"/>
      <c r="U103" s="310"/>
      <c r="V103" s="310"/>
      <c r="W103" s="310"/>
      <c r="X103" s="310">
        <f>Q103</f>
        <v>31</v>
      </c>
    </row>
    <row r="104" spans="1:24" s="41" customFormat="1" ht="30.75" customHeight="1">
      <c r="A104" s="352" t="s">
        <v>664</v>
      </c>
      <c r="B104" s="395"/>
      <c r="C104" s="395"/>
      <c r="D104" s="395"/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Q104" s="395">
        <f>Q103</f>
        <v>31</v>
      </c>
      <c r="R104" s="395">
        <f>R103</f>
        <v>31</v>
      </c>
      <c r="S104" s="395"/>
      <c r="T104" s="395"/>
      <c r="U104" s="395"/>
      <c r="V104" s="395"/>
      <c r="W104" s="395"/>
      <c r="X104" s="395">
        <f>X103</f>
        <v>31</v>
      </c>
    </row>
    <row r="105" spans="1:24" s="325" customFormat="1" ht="16.5" customHeight="1">
      <c r="A105" s="323" t="s">
        <v>377</v>
      </c>
      <c r="B105" s="310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310"/>
      <c r="R105" s="310"/>
      <c r="S105" s="310"/>
      <c r="T105" s="310"/>
      <c r="U105" s="310"/>
      <c r="V105" s="310"/>
      <c r="W105" s="310"/>
      <c r="X105" s="310"/>
    </row>
    <row r="106" spans="1:36" ht="78.75" customHeight="1">
      <c r="A106" s="589" t="s">
        <v>474</v>
      </c>
      <c r="B106" s="310"/>
      <c r="C106" s="312"/>
      <c r="D106" s="312"/>
      <c r="E106" s="312"/>
      <c r="F106" s="310"/>
      <c r="G106" s="312"/>
      <c r="H106" s="312"/>
      <c r="I106" s="312"/>
      <c r="J106" s="312"/>
      <c r="K106" s="312"/>
      <c r="L106" s="312"/>
      <c r="M106" s="312"/>
      <c r="N106" s="312"/>
      <c r="O106" s="312"/>
      <c r="P106" s="549">
        <v>300</v>
      </c>
      <c r="Q106" s="312"/>
      <c r="R106" s="312"/>
      <c r="S106" s="312"/>
      <c r="T106" s="310"/>
      <c r="U106" s="312"/>
      <c r="V106" s="312"/>
      <c r="W106" s="312"/>
      <c r="X106" s="310">
        <f>P106</f>
        <v>300</v>
      </c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</row>
    <row r="107" spans="1:36" s="134" customFormat="1" ht="16.5" customHeight="1">
      <c r="A107" s="352" t="s">
        <v>518</v>
      </c>
      <c r="B107" s="395"/>
      <c r="C107" s="395"/>
      <c r="D107" s="395"/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>
        <f>SUM(P106)</f>
        <v>300</v>
      </c>
      <c r="Q107" s="395"/>
      <c r="R107" s="395"/>
      <c r="S107" s="395"/>
      <c r="T107" s="395"/>
      <c r="U107" s="395"/>
      <c r="V107" s="395"/>
      <c r="W107" s="395"/>
      <c r="X107" s="395">
        <f>P107</f>
        <v>300</v>
      </c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</row>
    <row r="108" spans="1:24" s="101" customFormat="1" ht="24.75" customHeight="1">
      <c r="A108" s="398" t="s">
        <v>257</v>
      </c>
      <c r="B108" s="399">
        <f>B14+B22+B25+B28+B34+B43+B46+B50+B92+B98+B101+B107</f>
        <v>4319.5</v>
      </c>
      <c r="C108" s="534">
        <f>C14+C22+C25+C28+C34+C43+C46+C50+C92+C98+C101+C107</f>
        <v>3403.3</v>
      </c>
      <c r="D108" s="534">
        <f>D14+D22+D25+D28+D34+D43+D46+D50+D92+D98+D101+D107</f>
        <v>6</v>
      </c>
      <c r="E108" s="534">
        <f>E14+E22+E25+E28+E34+E43+E46+E50+E92+E98+E101+E107</f>
        <v>910.2</v>
      </c>
      <c r="F108" s="399">
        <f aca="true" t="shared" si="21" ref="F108:W108">F14+F22+F25+F28+F36+F43+F46+F54+F69+F92+F98+F104+F101+F107</f>
        <v>5631.8</v>
      </c>
      <c r="G108" s="534">
        <f t="shared" si="21"/>
        <v>32</v>
      </c>
      <c r="H108" s="534">
        <f t="shared" si="21"/>
        <v>73</v>
      </c>
      <c r="I108" s="534">
        <f t="shared" si="21"/>
        <v>673.8</v>
      </c>
      <c r="J108" s="534">
        <f t="shared" si="21"/>
        <v>0</v>
      </c>
      <c r="K108" s="534">
        <f t="shared" si="21"/>
        <v>2134</v>
      </c>
      <c r="L108" s="534">
        <f t="shared" si="21"/>
        <v>2719</v>
      </c>
      <c r="M108" s="399">
        <f t="shared" si="21"/>
        <v>37772.4</v>
      </c>
      <c r="N108" s="534">
        <f t="shared" si="21"/>
        <v>35471.4</v>
      </c>
      <c r="O108" s="534">
        <f t="shared" si="21"/>
        <v>2301</v>
      </c>
      <c r="P108" s="399">
        <f t="shared" si="21"/>
        <v>300</v>
      </c>
      <c r="Q108" s="399">
        <f t="shared" si="21"/>
        <v>31</v>
      </c>
      <c r="R108" s="534">
        <f t="shared" si="21"/>
        <v>31</v>
      </c>
      <c r="S108" s="399">
        <f>S14+S22+S25+S28+S36+S43+S46+S54+S69+S92+S98+S104+S101+S107+S19</f>
        <v>378</v>
      </c>
      <c r="T108" s="399">
        <f t="shared" si="21"/>
        <v>2887.2</v>
      </c>
      <c r="U108" s="534">
        <f t="shared" si="21"/>
        <v>2472</v>
      </c>
      <c r="V108" s="534">
        <f t="shared" si="21"/>
        <v>25</v>
      </c>
      <c r="W108" s="534">
        <f t="shared" si="21"/>
        <v>390.2</v>
      </c>
      <c r="X108" s="534">
        <f>X14+X22+X25+X28+X36+X43+X46+X50+X92+X98+X101+X107+X104+X54+X69+X19</f>
        <v>51319.9</v>
      </c>
    </row>
    <row r="109" spans="2:36" ht="15.75">
      <c r="B109" s="325"/>
      <c r="C109" s="334"/>
      <c r="D109" s="334"/>
      <c r="E109" s="334"/>
      <c r="F109" s="335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T109" s="335"/>
      <c r="U109" s="334"/>
      <c r="V109" s="334"/>
      <c r="W109" s="334" t="s">
        <v>479</v>
      </c>
      <c r="X109" s="364">
        <f>B108+F108+M108+P108+Q108+S108+T108</f>
        <v>51319.899999999994</v>
      </c>
      <c r="Y109" s="533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</row>
    <row r="110" spans="1:36" ht="15.75">
      <c r="A110" s="333"/>
      <c r="B110" s="325"/>
      <c r="C110" s="101"/>
      <c r="D110" s="101"/>
      <c r="E110" s="101"/>
      <c r="F110" s="4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40"/>
      <c r="U110" s="101"/>
      <c r="V110" s="101"/>
      <c r="W110" s="101" t="s">
        <v>500</v>
      </c>
      <c r="X110" s="443">
        <f>X109</f>
        <v>51319.899999999994</v>
      </c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</row>
    <row r="111" spans="1:36" ht="15.75">
      <c r="A111" s="333"/>
      <c r="B111" s="325"/>
      <c r="C111" s="101"/>
      <c r="D111" s="101"/>
      <c r="E111" s="101"/>
      <c r="F111" s="4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40"/>
      <c r="U111" s="101"/>
      <c r="V111" s="101"/>
      <c r="W111" s="101" t="s">
        <v>499</v>
      </c>
      <c r="X111" s="40">
        <v>51470.9</v>
      </c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</row>
    <row r="112" spans="1:36" ht="15.75">
      <c r="A112" s="333"/>
      <c r="B112" s="325"/>
      <c r="C112" s="101"/>
      <c r="D112" s="101"/>
      <c r="E112" s="101"/>
      <c r="F112" s="4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40"/>
      <c r="U112" s="101"/>
      <c r="V112" s="101"/>
      <c r="W112" s="101"/>
      <c r="X112" s="443">
        <f>X111-X110</f>
        <v>151.00000000000728</v>
      </c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</row>
    <row r="113" spans="1:34" ht="15.75">
      <c r="A113" s="333"/>
      <c r="B113" s="325"/>
      <c r="C113" s="101"/>
      <c r="D113" s="101"/>
      <c r="E113" s="101"/>
      <c r="F113" s="4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40"/>
      <c r="T113" s="101"/>
      <c r="U113" s="101"/>
      <c r="V113" s="40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</row>
    <row r="114" spans="1:34" ht="15.75">
      <c r="A114" s="333"/>
      <c r="B114" s="325"/>
      <c r="C114" s="101"/>
      <c r="D114" s="101"/>
      <c r="E114" s="101"/>
      <c r="F114" s="4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40"/>
      <c r="T114" s="101"/>
      <c r="U114" s="101"/>
      <c r="V114" s="40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</row>
    <row r="115" spans="1:34" ht="15.75">
      <c r="A115" s="333"/>
      <c r="B115" s="325"/>
      <c r="C115" s="101"/>
      <c r="D115" s="101"/>
      <c r="E115" s="101"/>
      <c r="F115" s="4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40"/>
      <c r="T115" s="101"/>
      <c r="U115" s="101"/>
      <c r="V115" s="40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</row>
    <row r="116" spans="1:34" ht="15.75">
      <c r="A116" s="333"/>
      <c r="B116" s="325"/>
      <c r="C116" s="101"/>
      <c r="D116" s="101"/>
      <c r="E116" s="101"/>
      <c r="F116" s="4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40"/>
      <c r="T116" s="101"/>
      <c r="U116" s="101"/>
      <c r="V116" s="40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</row>
    <row r="117" spans="1:34" ht="15.75">
      <c r="A117" s="333"/>
      <c r="B117" s="325"/>
      <c r="C117" s="101"/>
      <c r="D117" s="101"/>
      <c r="E117" s="101"/>
      <c r="F117" s="4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40"/>
      <c r="T117" s="101"/>
      <c r="U117" s="101"/>
      <c r="V117" s="40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</row>
    <row r="118" spans="1:34" ht="15.75">
      <c r="A118" s="333"/>
      <c r="B118" s="325"/>
      <c r="C118" s="101"/>
      <c r="D118" s="101"/>
      <c r="E118" s="101"/>
      <c r="F118" s="4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40"/>
      <c r="T118" s="101"/>
      <c r="U118" s="101"/>
      <c r="V118" s="40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</row>
    <row r="119" spans="1:34" ht="15.75">
      <c r="A119" s="333"/>
      <c r="B119" s="325"/>
      <c r="C119" s="101"/>
      <c r="D119" s="101"/>
      <c r="E119" s="101"/>
      <c r="F119" s="4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40"/>
      <c r="T119" s="101"/>
      <c r="U119" s="101"/>
      <c r="V119" s="40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</row>
    <row r="120" spans="1:34" ht="15.75">
      <c r="A120" s="333"/>
      <c r="B120" s="325"/>
      <c r="C120" s="101"/>
      <c r="D120" s="101"/>
      <c r="E120" s="101"/>
      <c r="F120" s="4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40"/>
      <c r="T120" s="101"/>
      <c r="U120" s="101"/>
      <c r="V120" s="40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</row>
    <row r="121" spans="1:34" ht="15.75">
      <c r="A121" s="333"/>
      <c r="B121" s="325"/>
      <c r="C121" s="101"/>
      <c r="D121" s="101"/>
      <c r="E121" s="101"/>
      <c r="F121" s="4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40"/>
      <c r="T121" s="101"/>
      <c r="U121" s="101"/>
      <c r="V121" s="40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</row>
    <row r="122" spans="1:34" ht="15.75">
      <c r="A122" s="333"/>
      <c r="B122" s="325"/>
      <c r="C122" s="101"/>
      <c r="D122" s="101"/>
      <c r="E122" s="101"/>
      <c r="F122" s="4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40"/>
      <c r="T122" s="101"/>
      <c r="U122" s="101"/>
      <c r="V122" s="40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</row>
    <row r="123" spans="1:34" ht="15.75">
      <c r="A123" s="333"/>
      <c r="B123" s="325"/>
      <c r="C123" s="101"/>
      <c r="D123" s="101"/>
      <c r="E123" s="101"/>
      <c r="F123" s="4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40"/>
      <c r="T123" s="101"/>
      <c r="U123" s="101"/>
      <c r="V123" s="40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</row>
    <row r="124" spans="1:34" ht="15.75">
      <c r="A124" s="333"/>
      <c r="B124" s="325"/>
      <c r="C124" s="101"/>
      <c r="D124" s="101"/>
      <c r="E124" s="101"/>
      <c r="F124" s="4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40"/>
      <c r="T124" s="101"/>
      <c r="U124" s="101"/>
      <c r="V124" s="40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</row>
    <row r="125" spans="1:34" ht="15.75">
      <c r="A125" s="333"/>
      <c r="B125" s="325"/>
      <c r="C125" s="101"/>
      <c r="D125" s="101"/>
      <c r="E125" s="101"/>
      <c r="F125" s="4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40"/>
      <c r="T125" s="101"/>
      <c r="U125" s="101"/>
      <c r="V125" s="40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</row>
    <row r="126" spans="1:34" ht="15.75">
      <c r="A126" s="333"/>
      <c r="B126" s="325"/>
      <c r="C126" s="101"/>
      <c r="D126" s="101"/>
      <c r="E126" s="101"/>
      <c r="F126" s="4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40"/>
      <c r="T126" s="101"/>
      <c r="U126" s="101"/>
      <c r="V126" s="40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</row>
    <row r="127" spans="1:34" ht="15.75">
      <c r="A127" s="333"/>
      <c r="B127" s="325"/>
      <c r="C127" s="101"/>
      <c r="D127" s="101"/>
      <c r="E127" s="101"/>
      <c r="F127" s="4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40"/>
      <c r="T127" s="101"/>
      <c r="U127" s="101"/>
      <c r="V127" s="40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</row>
    <row r="128" spans="1:34" ht="15.75">
      <c r="A128" s="333"/>
      <c r="B128" s="325"/>
      <c r="C128" s="101"/>
      <c r="D128" s="101"/>
      <c r="E128" s="101"/>
      <c r="F128" s="4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40"/>
      <c r="T128" s="101"/>
      <c r="U128" s="101"/>
      <c r="V128" s="40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</row>
    <row r="129" spans="1:34" ht="15.75">
      <c r="A129" s="333"/>
      <c r="B129" s="325"/>
      <c r="C129" s="101"/>
      <c r="D129" s="101"/>
      <c r="E129" s="101"/>
      <c r="F129" s="4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40"/>
      <c r="T129" s="101"/>
      <c r="U129" s="101"/>
      <c r="V129" s="40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</row>
    <row r="130" spans="1:34" ht="15.75">
      <c r="A130" s="333"/>
      <c r="B130" s="325"/>
      <c r="C130" s="101"/>
      <c r="D130" s="101"/>
      <c r="E130" s="101"/>
      <c r="F130" s="4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40"/>
      <c r="T130" s="101"/>
      <c r="U130" s="101"/>
      <c r="V130" s="40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</row>
    <row r="131" spans="1:34" ht="15.75">
      <c r="A131" s="333"/>
      <c r="B131" s="325"/>
      <c r="C131" s="101"/>
      <c r="D131" s="101"/>
      <c r="E131" s="101"/>
      <c r="F131" s="4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40"/>
      <c r="T131" s="101"/>
      <c r="U131" s="101"/>
      <c r="V131" s="40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</row>
    <row r="132" spans="1:34" ht="15.75">
      <c r="A132" s="333"/>
      <c r="B132" s="325"/>
      <c r="C132" s="101"/>
      <c r="D132" s="101"/>
      <c r="E132" s="101"/>
      <c r="F132" s="4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40"/>
      <c r="T132" s="101"/>
      <c r="U132" s="101"/>
      <c r="V132" s="40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</row>
    <row r="133" spans="1:34" ht="15.75">
      <c r="A133" s="333"/>
      <c r="B133" s="325"/>
      <c r="C133" s="101"/>
      <c r="D133" s="101"/>
      <c r="E133" s="101"/>
      <c r="F133" s="4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40"/>
      <c r="T133" s="101"/>
      <c r="U133" s="101"/>
      <c r="V133" s="40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</row>
    <row r="134" spans="1:34" ht="15.75">
      <c r="A134" s="333"/>
      <c r="B134" s="325"/>
      <c r="C134" s="101"/>
      <c r="D134" s="101"/>
      <c r="E134" s="101"/>
      <c r="F134" s="4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40"/>
      <c r="T134" s="101"/>
      <c r="U134" s="101"/>
      <c r="V134" s="40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</row>
    <row r="135" spans="1:34" ht="15.75">
      <c r="A135" s="333"/>
      <c r="B135" s="325"/>
      <c r="C135" s="101"/>
      <c r="D135" s="101"/>
      <c r="E135" s="101"/>
      <c r="F135" s="4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40"/>
      <c r="T135" s="101"/>
      <c r="U135" s="101"/>
      <c r="V135" s="40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</row>
    <row r="136" spans="1:34" ht="15.75">
      <c r="A136" s="333"/>
      <c r="B136" s="325"/>
      <c r="C136" s="101"/>
      <c r="D136" s="101"/>
      <c r="E136" s="101"/>
      <c r="F136" s="4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40"/>
      <c r="T136" s="101"/>
      <c r="U136" s="101"/>
      <c r="V136" s="40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</row>
    <row r="137" spans="1:34" ht="15.75">
      <c r="A137" s="333"/>
      <c r="B137" s="325"/>
      <c r="C137" s="101"/>
      <c r="D137" s="101"/>
      <c r="E137" s="101"/>
      <c r="F137" s="4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40"/>
      <c r="T137" s="101"/>
      <c r="U137" s="101"/>
      <c r="V137" s="40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</row>
    <row r="138" spans="1:34" ht="15.75">
      <c r="A138" s="333"/>
      <c r="B138" s="325"/>
      <c r="C138" s="101"/>
      <c r="D138" s="101"/>
      <c r="E138" s="101"/>
      <c r="F138" s="4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40"/>
      <c r="T138" s="101"/>
      <c r="U138" s="101"/>
      <c r="V138" s="40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</row>
    <row r="139" spans="1:34" ht="15.75">
      <c r="A139" s="333"/>
      <c r="B139" s="325"/>
      <c r="C139" s="101"/>
      <c r="D139" s="101"/>
      <c r="E139" s="101"/>
      <c r="F139" s="4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40"/>
      <c r="T139" s="101"/>
      <c r="U139" s="101"/>
      <c r="V139" s="40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</row>
    <row r="140" spans="1:34" ht="15.75">
      <c r="A140" s="333"/>
      <c r="B140" s="325"/>
      <c r="C140" s="101"/>
      <c r="D140" s="101"/>
      <c r="E140" s="101"/>
      <c r="F140" s="4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40"/>
      <c r="T140" s="101"/>
      <c r="U140" s="101"/>
      <c r="V140" s="40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</row>
    <row r="141" spans="1:34" ht="15.75">
      <c r="A141" s="333"/>
      <c r="B141" s="325"/>
      <c r="C141" s="101"/>
      <c r="D141" s="101"/>
      <c r="E141" s="101"/>
      <c r="F141" s="4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40"/>
      <c r="T141" s="101"/>
      <c r="U141" s="101"/>
      <c r="V141" s="40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</row>
    <row r="142" spans="1:34" ht="15.75">
      <c r="A142" s="333"/>
      <c r="B142" s="325"/>
      <c r="C142" s="101"/>
      <c r="D142" s="101"/>
      <c r="E142" s="101"/>
      <c r="F142" s="4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40"/>
      <c r="T142" s="101"/>
      <c r="U142" s="101"/>
      <c r="V142" s="40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</row>
    <row r="143" spans="1:34" ht="15.75">
      <c r="A143" s="333"/>
      <c r="B143" s="325"/>
      <c r="C143" s="101"/>
      <c r="D143" s="101"/>
      <c r="E143" s="101"/>
      <c r="F143" s="4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40"/>
      <c r="T143" s="101"/>
      <c r="U143" s="101"/>
      <c r="V143" s="40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</row>
    <row r="144" spans="1:34" ht="15.75">
      <c r="A144" s="333"/>
      <c r="B144" s="325"/>
      <c r="C144" s="101"/>
      <c r="D144" s="101"/>
      <c r="E144" s="101"/>
      <c r="F144" s="4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40"/>
      <c r="T144" s="101"/>
      <c r="U144" s="101"/>
      <c r="V144" s="40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</row>
    <row r="145" spans="1:34" ht="15.75">
      <c r="A145" s="333"/>
      <c r="B145" s="325"/>
      <c r="C145" s="101"/>
      <c r="D145" s="101"/>
      <c r="E145" s="101"/>
      <c r="F145" s="4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40"/>
      <c r="T145" s="101"/>
      <c r="U145" s="101"/>
      <c r="V145" s="40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</row>
    <row r="146" spans="1:34" ht="15.75">
      <c r="A146" s="333"/>
      <c r="B146" s="325"/>
      <c r="C146" s="101"/>
      <c r="D146" s="101"/>
      <c r="E146" s="101"/>
      <c r="F146" s="4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40"/>
      <c r="T146" s="101"/>
      <c r="U146" s="101"/>
      <c r="V146" s="40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</row>
    <row r="147" spans="1:34" ht="15.75">
      <c r="A147" s="333"/>
      <c r="B147" s="325"/>
      <c r="C147" s="101"/>
      <c r="D147" s="101"/>
      <c r="E147" s="101"/>
      <c r="F147" s="4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40"/>
      <c r="T147" s="101"/>
      <c r="U147" s="101"/>
      <c r="V147" s="40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</row>
    <row r="148" spans="1:34" ht="15.75">
      <c r="A148" s="333"/>
      <c r="B148" s="325"/>
      <c r="C148" s="101"/>
      <c r="D148" s="101"/>
      <c r="E148" s="101"/>
      <c r="F148" s="4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40"/>
      <c r="T148" s="101"/>
      <c r="U148" s="101"/>
      <c r="V148" s="40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</row>
    <row r="149" spans="1:34" ht="15.75">
      <c r="A149" s="333"/>
      <c r="B149" s="325"/>
      <c r="C149" s="101"/>
      <c r="D149" s="101"/>
      <c r="E149" s="101"/>
      <c r="F149" s="4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40"/>
      <c r="T149" s="101"/>
      <c r="U149" s="101"/>
      <c r="V149" s="40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</row>
    <row r="150" spans="1:34" ht="15.75">
      <c r="A150" s="333"/>
      <c r="B150" s="325"/>
      <c r="C150" s="101"/>
      <c r="D150" s="101"/>
      <c r="E150" s="101"/>
      <c r="F150" s="4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40"/>
      <c r="T150" s="101"/>
      <c r="U150" s="101"/>
      <c r="V150" s="40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</row>
    <row r="151" spans="1:34" ht="15.75">
      <c r="A151" s="333"/>
      <c r="B151" s="325"/>
      <c r="C151" s="101"/>
      <c r="D151" s="101"/>
      <c r="E151" s="101"/>
      <c r="F151" s="4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40"/>
      <c r="T151" s="101"/>
      <c r="U151" s="101"/>
      <c r="V151" s="40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</row>
    <row r="152" spans="1:34" ht="15.75">
      <c r="A152" s="333"/>
      <c r="B152" s="325"/>
      <c r="C152" s="101"/>
      <c r="D152" s="101"/>
      <c r="E152" s="101"/>
      <c r="F152" s="4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40"/>
      <c r="T152" s="101"/>
      <c r="U152" s="101"/>
      <c r="V152" s="40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</row>
    <row r="153" spans="1:34" ht="15.75">
      <c r="A153" s="333"/>
      <c r="B153" s="325"/>
      <c r="C153" s="101"/>
      <c r="D153" s="101"/>
      <c r="E153" s="101"/>
      <c r="F153" s="4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40"/>
      <c r="T153" s="101"/>
      <c r="U153" s="101"/>
      <c r="V153" s="40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</row>
    <row r="154" spans="1:34" ht="15.75">
      <c r="A154" s="333"/>
      <c r="B154" s="325"/>
      <c r="C154" s="101"/>
      <c r="D154" s="101"/>
      <c r="E154" s="101"/>
      <c r="F154" s="4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40"/>
      <c r="T154" s="101"/>
      <c r="U154" s="101"/>
      <c r="V154" s="40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</row>
    <row r="155" spans="1:34" ht="15.75">
      <c r="A155" s="333"/>
      <c r="B155" s="325"/>
      <c r="C155" s="101"/>
      <c r="D155" s="101"/>
      <c r="E155" s="101"/>
      <c r="F155" s="4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40"/>
      <c r="T155" s="101"/>
      <c r="U155" s="101"/>
      <c r="V155" s="40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</row>
    <row r="156" spans="1:34" ht="15.75">
      <c r="A156" s="333"/>
      <c r="B156" s="325"/>
      <c r="C156" s="101"/>
      <c r="D156" s="101"/>
      <c r="E156" s="101"/>
      <c r="F156" s="4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40"/>
      <c r="T156" s="101"/>
      <c r="U156" s="101"/>
      <c r="V156" s="40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</row>
    <row r="157" spans="1:34" ht="15.75">
      <c r="A157" s="333"/>
      <c r="B157" s="325"/>
      <c r="C157" s="101"/>
      <c r="D157" s="101"/>
      <c r="E157" s="101"/>
      <c r="F157" s="4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40"/>
      <c r="T157" s="101"/>
      <c r="U157" s="101"/>
      <c r="V157" s="40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</row>
    <row r="158" spans="1:34" ht="15.75">
      <c r="A158" s="333"/>
      <c r="B158" s="325"/>
      <c r="C158" s="101"/>
      <c r="D158" s="101"/>
      <c r="E158" s="101"/>
      <c r="F158" s="4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40"/>
      <c r="T158" s="101"/>
      <c r="U158" s="101"/>
      <c r="V158" s="40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</row>
    <row r="159" spans="1:34" ht="15.75">
      <c r="A159" s="333"/>
      <c r="B159" s="325"/>
      <c r="C159" s="101"/>
      <c r="D159" s="101"/>
      <c r="E159" s="101"/>
      <c r="F159" s="4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40"/>
      <c r="T159" s="101"/>
      <c r="U159" s="101"/>
      <c r="V159" s="40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</row>
    <row r="160" spans="1:34" ht="15.75">
      <c r="A160" s="333"/>
      <c r="B160" s="325"/>
      <c r="C160" s="101"/>
      <c r="D160" s="101"/>
      <c r="E160" s="101"/>
      <c r="F160" s="4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40"/>
      <c r="T160" s="101"/>
      <c r="U160" s="101"/>
      <c r="V160" s="40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</row>
    <row r="161" spans="1:34" ht="15.75">
      <c r="A161" s="333"/>
      <c r="B161" s="325"/>
      <c r="C161" s="101"/>
      <c r="D161" s="101"/>
      <c r="E161" s="101"/>
      <c r="F161" s="4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40"/>
      <c r="T161" s="101"/>
      <c r="U161" s="101"/>
      <c r="V161" s="40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</row>
    <row r="162" spans="1:34" ht="15.75">
      <c r="A162" s="333"/>
      <c r="B162" s="325"/>
      <c r="C162" s="101"/>
      <c r="D162" s="101"/>
      <c r="E162" s="101"/>
      <c r="F162" s="4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40"/>
      <c r="T162" s="101"/>
      <c r="U162" s="101"/>
      <c r="V162" s="40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</row>
    <row r="163" spans="1:34" ht="15.75">
      <c r="A163" s="333"/>
      <c r="B163" s="325"/>
      <c r="C163" s="101"/>
      <c r="D163" s="101"/>
      <c r="E163" s="101"/>
      <c r="F163" s="4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40"/>
      <c r="T163" s="101"/>
      <c r="U163" s="101"/>
      <c r="V163" s="40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</row>
    <row r="164" spans="1:34" ht="15.75">
      <c r="A164" s="333"/>
      <c r="B164" s="325"/>
      <c r="C164" s="101"/>
      <c r="D164" s="101"/>
      <c r="E164" s="101"/>
      <c r="F164" s="4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40"/>
      <c r="T164" s="101"/>
      <c r="U164" s="101"/>
      <c r="V164" s="40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</row>
    <row r="165" spans="1:34" ht="15.75">
      <c r="A165" s="333"/>
      <c r="B165" s="325"/>
      <c r="C165" s="101"/>
      <c r="D165" s="101"/>
      <c r="E165" s="101"/>
      <c r="F165" s="4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40"/>
      <c r="T165" s="101"/>
      <c r="U165" s="101"/>
      <c r="V165" s="40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</row>
    <row r="166" spans="1:34" ht="15.75">
      <c r="A166" s="333"/>
      <c r="B166" s="325"/>
      <c r="C166" s="101"/>
      <c r="D166" s="101"/>
      <c r="E166" s="101"/>
      <c r="F166" s="4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40"/>
      <c r="T166" s="101"/>
      <c r="U166" s="101"/>
      <c r="V166" s="40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</row>
    <row r="167" spans="1:34" ht="15.75">
      <c r="A167" s="333"/>
      <c r="B167" s="325"/>
      <c r="C167" s="101"/>
      <c r="D167" s="101"/>
      <c r="E167" s="101"/>
      <c r="F167" s="4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40"/>
      <c r="T167" s="101"/>
      <c r="U167" s="101"/>
      <c r="V167" s="40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</row>
    <row r="168" spans="1:34" ht="15.75">
      <c r="A168" s="333"/>
      <c r="B168" s="325"/>
      <c r="C168" s="101"/>
      <c r="D168" s="101"/>
      <c r="E168" s="101"/>
      <c r="F168" s="4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40"/>
      <c r="T168" s="101"/>
      <c r="U168" s="101"/>
      <c r="V168" s="40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</row>
    <row r="169" spans="1:34" ht="15.75">
      <c r="A169" s="333"/>
      <c r="B169" s="325"/>
      <c r="C169" s="101"/>
      <c r="D169" s="101"/>
      <c r="E169" s="101"/>
      <c r="F169" s="4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40"/>
      <c r="T169" s="101"/>
      <c r="U169" s="101"/>
      <c r="V169" s="40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</row>
    <row r="170" spans="1:34" ht="15.75">
      <c r="A170" s="333"/>
      <c r="B170" s="325"/>
      <c r="C170" s="101"/>
      <c r="D170" s="101"/>
      <c r="E170" s="101"/>
      <c r="F170" s="4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40"/>
      <c r="T170" s="101"/>
      <c r="U170" s="101"/>
      <c r="V170" s="40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</row>
    <row r="171" spans="1:34" ht="15.75">
      <c r="A171" s="333"/>
      <c r="B171" s="325"/>
      <c r="C171" s="101"/>
      <c r="D171" s="101"/>
      <c r="E171" s="101"/>
      <c r="F171" s="4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40"/>
      <c r="T171" s="101"/>
      <c r="U171" s="101"/>
      <c r="V171" s="40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</row>
    <row r="172" spans="1:34" ht="15.75">
      <c r="A172" s="333"/>
      <c r="B172" s="325"/>
      <c r="C172" s="101"/>
      <c r="D172" s="101"/>
      <c r="E172" s="101"/>
      <c r="F172" s="4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40"/>
      <c r="T172" s="101"/>
      <c r="U172" s="101"/>
      <c r="V172" s="40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</row>
    <row r="173" spans="1:34" ht="15.75">
      <c r="A173" s="333"/>
      <c r="B173" s="325"/>
      <c r="C173" s="101"/>
      <c r="D173" s="101"/>
      <c r="E173" s="101"/>
      <c r="F173" s="4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40"/>
      <c r="T173" s="101"/>
      <c r="U173" s="101"/>
      <c r="V173" s="40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</row>
    <row r="174" spans="1:34" ht="15.75">
      <c r="A174" s="333"/>
      <c r="B174" s="325"/>
      <c r="C174" s="101"/>
      <c r="D174" s="101"/>
      <c r="E174" s="101"/>
      <c r="F174" s="4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40"/>
      <c r="T174" s="101"/>
      <c r="U174" s="101"/>
      <c r="V174" s="40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</row>
    <row r="175" spans="1:34" ht="15.75">
      <c r="A175" s="333"/>
      <c r="B175" s="325"/>
      <c r="C175" s="101"/>
      <c r="D175" s="101"/>
      <c r="E175" s="101"/>
      <c r="F175" s="4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40"/>
      <c r="T175" s="101"/>
      <c r="U175" s="101"/>
      <c r="V175" s="40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</row>
    <row r="176" spans="1:34" ht="15.75">
      <c r="A176" s="333"/>
      <c r="B176" s="325"/>
      <c r="C176" s="101"/>
      <c r="D176" s="101"/>
      <c r="E176" s="101"/>
      <c r="F176" s="4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40"/>
      <c r="T176" s="101"/>
      <c r="U176" s="101"/>
      <c r="V176" s="40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</row>
    <row r="177" spans="1:34" ht="15.75">
      <c r="A177" s="333"/>
      <c r="B177" s="325"/>
      <c r="C177" s="101"/>
      <c r="D177" s="101"/>
      <c r="E177" s="101"/>
      <c r="F177" s="4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40"/>
      <c r="T177" s="101"/>
      <c r="U177" s="101"/>
      <c r="V177" s="40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</row>
    <row r="178" spans="1:34" ht="15.75">
      <c r="A178" s="333"/>
      <c r="B178" s="325"/>
      <c r="C178" s="101"/>
      <c r="D178" s="101"/>
      <c r="E178" s="101"/>
      <c r="F178" s="4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40"/>
      <c r="T178" s="101"/>
      <c r="U178" s="101"/>
      <c r="V178" s="40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</row>
    <row r="179" spans="1:34" ht="15.75">
      <c r="A179" s="333"/>
      <c r="B179" s="325"/>
      <c r="C179" s="101"/>
      <c r="D179" s="101"/>
      <c r="E179" s="101"/>
      <c r="F179" s="4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40"/>
      <c r="T179" s="101"/>
      <c r="U179" s="101"/>
      <c r="V179" s="40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</row>
    <row r="180" spans="1:34" ht="15.75">
      <c r="A180" s="333"/>
      <c r="B180" s="325"/>
      <c r="C180" s="101"/>
      <c r="D180" s="101"/>
      <c r="E180" s="101"/>
      <c r="F180" s="4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40"/>
      <c r="T180" s="101"/>
      <c r="U180" s="101"/>
      <c r="V180" s="40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</row>
    <row r="181" spans="1:34" ht="15.75">
      <c r="A181" s="333"/>
      <c r="B181" s="325"/>
      <c r="C181" s="101"/>
      <c r="D181" s="101"/>
      <c r="E181" s="101"/>
      <c r="F181" s="4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40"/>
      <c r="T181" s="101"/>
      <c r="U181" s="101"/>
      <c r="V181" s="40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</row>
    <row r="182" spans="1:34" ht="15.75">
      <c r="A182" s="333"/>
      <c r="B182" s="325"/>
      <c r="C182" s="101"/>
      <c r="D182" s="101"/>
      <c r="E182" s="101"/>
      <c r="F182" s="4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40"/>
      <c r="T182" s="101"/>
      <c r="U182" s="101"/>
      <c r="V182" s="40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</row>
    <row r="183" spans="1:34" ht="15.75">
      <c r="A183" s="333"/>
      <c r="B183" s="325"/>
      <c r="C183" s="101"/>
      <c r="D183" s="101"/>
      <c r="E183" s="101"/>
      <c r="F183" s="4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40"/>
      <c r="T183" s="101"/>
      <c r="U183" s="101"/>
      <c r="V183" s="40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</row>
    <row r="184" spans="1:34" ht="15.75">
      <c r="A184" s="333"/>
      <c r="B184" s="325"/>
      <c r="C184" s="101"/>
      <c r="D184" s="101"/>
      <c r="E184" s="101"/>
      <c r="F184" s="4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40"/>
      <c r="T184" s="101"/>
      <c r="U184" s="101"/>
      <c r="V184" s="40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</row>
    <row r="185" spans="1:34" ht="15.75">
      <c r="A185" s="333"/>
      <c r="B185" s="325"/>
      <c r="C185" s="101"/>
      <c r="D185" s="101"/>
      <c r="E185" s="101"/>
      <c r="F185" s="4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40"/>
      <c r="T185" s="101"/>
      <c r="U185" s="101"/>
      <c r="V185" s="40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</row>
    <row r="186" spans="1:34" ht="15.75">
      <c r="A186" s="333"/>
      <c r="B186" s="325"/>
      <c r="C186" s="101"/>
      <c r="D186" s="101"/>
      <c r="E186" s="101"/>
      <c r="F186" s="4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40"/>
      <c r="T186" s="101"/>
      <c r="U186" s="101"/>
      <c r="V186" s="40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</row>
    <row r="187" spans="1:34" ht="15.75">
      <c r="A187" s="333"/>
      <c r="B187" s="325"/>
      <c r="C187" s="101"/>
      <c r="D187" s="101"/>
      <c r="E187" s="101"/>
      <c r="F187" s="4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40"/>
      <c r="T187" s="101"/>
      <c r="U187" s="101"/>
      <c r="V187" s="40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</row>
    <row r="188" spans="1:34" ht="15.75">
      <c r="A188" s="333"/>
      <c r="B188" s="325"/>
      <c r="C188" s="101"/>
      <c r="D188" s="101"/>
      <c r="E188" s="101"/>
      <c r="F188" s="4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40"/>
      <c r="T188" s="101"/>
      <c r="U188" s="101"/>
      <c r="V188" s="40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</row>
    <row r="189" spans="1:34" ht="15.75">
      <c r="A189" s="333"/>
      <c r="B189" s="325"/>
      <c r="C189" s="101"/>
      <c r="D189" s="101"/>
      <c r="E189" s="101"/>
      <c r="F189" s="4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40"/>
      <c r="T189" s="101"/>
      <c r="U189" s="101"/>
      <c r="V189" s="40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</row>
    <row r="190" spans="1:34" ht="15.75">
      <c r="A190" s="333"/>
      <c r="B190" s="325"/>
      <c r="C190" s="101"/>
      <c r="D190" s="101"/>
      <c r="E190" s="101"/>
      <c r="F190" s="40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40"/>
      <c r="T190" s="101"/>
      <c r="U190" s="101"/>
      <c r="V190" s="40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</row>
    <row r="191" spans="1:34" ht="15.75">
      <c r="A191" s="333"/>
      <c r="B191" s="325"/>
      <c r="C191" s="101"/>
      <c r="D191" s="101"/>
      <c r="E191" s="101"/>
      <c r="F191" s="40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40"/>
      <c r="T191" s="101"/>
      <c r="U191" s="101"/>
      <c r="V191" s="40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</row>
    <row r="192" spans="1:34" ht="15.75">
      <c r="A192" s="333"/>
      <c r="B192" s="325"/>
      <c r="C192" s="101"/>
      <c r="D192" s="101"/>
      <c r="E192" s="101"/>
      <c r="F192" s="40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40"/>
      <c r="T192" s="101"/>
      <c r="U192" s="101"/>
      <c r="V192" s="40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</row>
    <row r="193" spans="1:34" ht="15.75">
      <c r="A193" s="333"/>
      <c r="B193" s="325"/>
      <c r="C193" s="101"/>
      <c r="D193" s="101"/>
      <c r="E193" s="101"/>
      <c r="F193" s="40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40"/>
      <c r="T193" s="101"/>
      <c r="U193" s="101"/>
      <c r="V193" s="40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</row>
    <row r="194" spans="1:34" ht="15.75">
      <c r="A194" s="333"/>
      <c r="B194" s="325"/>
      <c r="C194" s="101"/>
      <c r="D194" s="101"/>
      <c r="E194" s="101"/>
      <c r="F194" s="40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40"/>
      <c r="T194" s="101"/>
      <c r="U194" s="101"/>
      <c r="V194" s="40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</row>
    <row r="195" spans="1:34" ht="15.75">
      <c r="A195" s="333"/>
      <c r="B195" s="325"/>
      <c r="C195" s="101"/>
      <c r="D195" s="101"/>
      <c r="E195" s="101"/>
      <c r="F195" s="40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40"/>
      <c r="T195" s="101"/>
      <c r="U195" s="101"/>
      <c r="V195" s="40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</row>
    <row r="196" spans="1:34" ht="15.75">
      <c r="A196" s="333"/>
      <c r="B196" s="325"/>
      <c r="C196" s="101"/>
      <c r="D196" s="101"/>
      <c r="E196" s="101"/>
      <c r="F196" s="40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40"/>
      <c r="T196" s="101"/>
      <c r="U196" s="101"/>
      <c r="V196" s="40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</row>
    <row r="197" spans="1:34" ht="15.75">
      <c r="A197" s="333"/>
      <c r="B197" s="325"/>
      <c r="C197" s="101"/>
      <c r="D197" s="101"/>
      <c r="E197" s="101"/>
      <c r="F197" s="40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40"/>
      <c r="T197" s="101"/>
      <c r="U197" s="101"/>
      <c r="V197" s="40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</row>
    <row r="198" spans="1:34" ht="15.75">
      <c r="A198" s="333"/>
      <c r="B198" s="325"/>
      <c r="C198" s="101"/>
      <c r="D198" s="101"/>
      <c r="E198" s="101"/>
      <c r="F198" s="40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40"/>
      <c r="T198" s="101"/>
      <c r="U198" s="101"/>
      <c r="V198" s="40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</row>
    <row r="199" spans="1:34" ht="15.75">
      <c r="A199" s="333"/>
      <c r="B199" s="325"/>
      <c r="C199" s="101"/>
      <c r="D199" s="101"/>
      <c r="E199" s="101"/>
      <c r="F199" s="40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40"/>
      <c r="T199" s="101"/>
      <c r="U199" s="101"/>
      <c r="V199" s="40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</row>
    <row r="200" spans="1:34" ht="15.75">
      <c r="A200" s="333"/>
      <c r="B200" s="325"/>
      <c r="C200" s="101"/>
      <c r="D200" s="101"/>
      <c r="E200" s="101"/>
      <c r="F200" s="40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40"/>
      <c r="T200" s="101"/>
      <c r="U200" s="101"/>
      <c r="V200" s="40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</row>
    <row r="201" spans="1:34" ht="15.75">
      <c r="A201" s="333"/>
      <c r="B201" s="325"/>
      <c r="C201" s="101"/>
      <c r="D201" s="101"/>
      <c r="E201" s="101"/>
      <c r="F201" s="40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40"/>
      <c r="T201" s="101"/>
      <c r="U201" s="101"/>
      <c r="V201" s="40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</row>
    <row r="202" spans="1:34" ht="15.75">
      <c r="A202" s="333"/>
      <c r="B202" s="325"/>
      <c r="C202" s="101"/>
      <c r="D202" s="101"/>
      <c r="E202" s="101"/>
      <c r="F202" s="40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40"/>
      <c r="T202" s="101"/>
      <c r="U202" s="101"/>
      <c r="V202" s="40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</row>
    <row r="203" spans="1:34" ht="15.75">
      <c r="A203" s="333"/>
      <c r="B203" s="325"/>
      <c r="C203" s="101"/>
      <c r="D203" s="101"/>
      <c r="E203" s="101"/>
      <c r="F203" s="40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40"/>
      <c r="T203" s="101"/>
      <c r="U203" s="101"/>
      <c r="V203" s="40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</row>
    <row r="204" spans="1:34" ht="15.75">
      <c r="A204" s="333"/>
      <c r="B204" s="325"/>
      <c r="C204" s="101"/>
      <c r="D204" s="101"/>
      <c r="E204" s="101"/>
      <c r="F204" s="40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40"/>
      <c r="T204" s="101"/>
      <c r="U204" s="101"/>
      <c r="V204" s="40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</row>
    <row r="205" spans="1:34" ht="15.75">
      <c r="A205" s="333"/>
      <c r="B205" s="325"/>
      <c r="C205" s="101"/>
      <c r="D205" s="101"/>
      <c r="E205" s="101"/>
      <c r="F205" s="40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40"/>
      <c r="T205" s="101"/>
      <c r="U205" s="101"/>
      <c r="V205" s="40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</row>
    <row r="206" spans="1:34" ht="15.75">
      <c r="A206" s="333"/>
      <c r="B206" s="325"/>
      <c r="C206" s="101"/>
      <c r="D206" s="101"/>
      <c r="E206" s="101"/>
      <c r="F206" s="40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40"/>
      <c r="T206" s="101"/>
      <c r="U206" s="101"/>
      <c r="V206" s="40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</row>
    <row r="207" spans="1:34" ht="15.75">
      <c r="A207" s="333"/>
      <c r="B207" s="325"/>
      <c r="C207" s="101"/>
      <c r="D207" s="101"/>
      <c r="E207" s="101"/>
      <c r="F207" s="40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40"/>
      <c r="T207" s="101"/>
      <c r="U207" s="101"/>
      <c r="V207" s="40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</row>
    <row r="208" spans="1:34" ht="15.75">
      <c r="A208" s="333"/>
      <c r="B208" s="325"/>
      <c r="C208" s="101"/>
      <c r="D208" s="101"/>
      <c r="E208" s="101"/>
      <c r="F208" s="40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40"/>
      <c r="T208" s="101"/>
      <c r="U208" s="101"/>
      <c r="V208" s="40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</row>
    <row r="209" spans="1:34" ht="15.75">
      <c r="A209" s="333"/>
      <c r="B209" s="325"/>
      <c r="C209" s="101"/>
      <c r="D209" s="101"/>
      <c r="E209" s="101"/>
      <c r="F209" s="40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40"/>
      <c r="T209" s="101"/>
      <c r="U209" s="101"/>
      <c r="V209" s="40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</row>
    <row r="210" spans="1:34" ht="15.75">
      <c r="A210" s="333"/>
      <c r="B210" s="325"/>
      <c r="C210" s="101"/>
      <c r="D210" s="101"/>
      <c r="E210" s="101"/>
      <c r="F210" s="40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40"/>
      <c r="T210" s="101"/>
      <c r="U210" s="101"/>
      <c r="V210" s="40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</row>
    <row r="211" spans="1:34" ht="15.75">
      <c r="A211" s="333"/>
      <c r="B211" s="325"/>
      <c r="C211" s="101"/>
      <c r="D211" s="101"/>
      <c r="E211" s="101"/>
      <c r="F211" s="40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40"/>
      <c r="T211" s="101"/>
      <c r="U211" s="101"/>
      <c r="V211" s="40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</row>
    <row r="212" spans="1:34" ht="15.75">
      <c r="A212" s="333"/>
      <c r="B212" s="325"/>
      <c r="C212" s="101"/>
      <c r="D212" s="101"/>
      <c r="E212" s="101"/>
      <c r="F212" s="40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40"/>
      <c r="T212" s="101"/>
      <c r="U212" s="101"/>
      <c r="V212" s="40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</row>
    <row r="213" spans="1:34" ht="15.75">
      <c r="A213" s="333"/>
      <c r="B213" s="325"/>
      <c r="C213" s="101"/>
      <c r="D213" s="101"/>
      <c r="E213" s="101"/>
      <c r="F213" s="40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40"/>
      <c r="T213" s="101"/>
      <c r="U213" s="101"/>
      <c r="V213" s="40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</row>
    <row r="214" spans="1:34" ht="15.75">
      <c r="A214" s="333"/>
      <c r="B214" s="325"/>
      <c r="C214" s="101"/>
      <c r="D214" s="101"/>
      <c r="E214" s="101"/>
      <c r="F214" s="40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40"/>
      <c r="T214" s="101"/>
      <c r="U214" s="101"/>
      <c r="V214" s="40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</row>
    <row r="215" spans="1:34" ht="15.75">
      <c r="A215" s="333"/>
      <c r="B215" s="325"/>
      <c r="C215" s="101"/>
      <c r="D215" s="101"/>
      <c r="E215" s="101"/>
      <c r="F215" s="40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40"/>
      <c r="T215" s="101"/>
      <c r="U215" s="101"/>
      <c r="V215" s="40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</row>
    <row r="216" spans="1:34" ht="15.75">
      <c r="A216" s="333"/>
      <c r="B216" s="325"/>
      <c r="C216" s="101"/>
      <c r="D216" s="101"/>
      <c r="E216" s="101"/>
      <c r="F216" s="4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40"/>
      <c r="T216" s="101"/>
      <c r="U216" s="101"/>
      <c r="V216" s="40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</row>
    <row r="217" spans="1:34" ht="15.75">
      <c r="A217" s="333"/>
      <c r="B217" s="325"/>
      <c r="C217" s="101"/>
      <c r="D217" s="101"/>
      <c r="E217" s="101"/>
      <c r="F217" s="4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40"/>
      <c r="T217" s="101"/>
      <c r="U217" s="101"/>
      <c r="V217" s="40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</row>
    <row r="218" spans="1:34" ht="15.75">
      <c r="A218" s="333"/>
      <c r="B218" s="325"/>
      <c r="C218" s="101"/>
      <c r="D218" s="101"/>
      <c r="E218" s="101"/>
      <c r="F218" s="40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40"/>
      <c r="T218" s="101"/>
      <c r="U218" s="101"/>
      <c r="V218" s="40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</row>
    <row r="219" spans="1:34" ht="15.75">
      <c r="A219" s="333"/>
      <c r="B219" s="325"/>
      <c r="C219" s="101"/>
      <c r="D219" s="101"/>
      <c r="E219" s="101"/>
      <c r="F219" s="4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40"/>
      <c r="T219" s="101"/>
      <c r="U219" s="101"/>
      <c r="V219" s="40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</row>
    <row r="220" spans="1:34" ht="15.75">
      <c r="A220" s="333"/>
      <c r="B220" s="325"/>
      <c r="C220" s="101"/>
      <c r="D220" s="101"/>
      <c r="E220" s="101"/>
      <c r="F220" s="4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40"/>
      <c r="T220" s="101"/>
      <c r="U220" s="101"/>
      <c r="V220" s="40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</row>
    <row r="221" spans="1:34" ht="15.75">
      <c r="A221" s="333"/>
      <c r="B221" s="325"/>
      <c r="C221" s="101"/>
      <c r="D221" s="101"/>
      <c r="E221" s="101"/>
      <c r="F221" s="4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40"/>
      <c r="T221" s="101"/>
      <c r="U221" s="101"/>
      <c r="V221" s="40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</row>
    <row r="222" spans="1:34" ht="15.75">
      <c r="A222" s="333"/>
      <c r="B222" s="325"/>
      <c r="C222" s="101"/>
      <c r="D222" s="101"/>
      <c r="E222" s="101"/>
      <c r="F222" s="4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40"/>
      <c r="T222" s="101"/>
      <c r="U222" s="101"/>
      <c r="V222" s="40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</row>
    <row r="223" spans="1:34" ht="15.75">
      <c r="A223" s="333"/>
      <c r="B223" s="325"/>
      <c r="C223" s="101"/>
      <c r="D223" s="101"/>
      <c r="E223" s="101"/>
      <c r="F223" s="4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40"/>
      <c r="T223" s="101"/>
      <c r="U223" s="101"/>
      <c r="V223" s="40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</row>
    <row r="224" spans="1:34" ht="15.75">
      <c r="A224" s="333"/>
      <c r="B224" s="325"/>
      <c r="C224" s="101"/>
      <c r="D224" s="101"/>
      <c r="E224" s="101"/>
      <c r="F224" s="4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40"/>
      <c r="T224" s="101"/>
      <c r="U224" s="101"/>
      <c r="V224" s="40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</row>
    <row r="225" spans="1:34" ht="15.75">
      <c r="A225" s="333"/>
      <c r="B225" s="325"/>
      <c r="C225" s="101"/>
      <c r="D225" s="101"/>
      <c r="E225" s="101"/>
      <c r="F225" s="4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40"/>
      <c r="T225" s="101"/>
      <c r="U225" s="101"/>
      <c r="V225" s="40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</row>
    <row r="226" spans="1:34" ht="15.75">
      <c r="A226" s="333"/>
      <c r="B226" s="325"/>
      <c r="C226" s="101"/>
      <c r="D226" s="101"/>
      <c r="E226" s="101"/>
      <c r="F226" s="4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40"/>
      <c r="T226" s="101"/>
      <c r="U226" s="101"/>
      <c r="V226" s="40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</row>
    <row r="227" spans="1:34" ht="15.75">
      <c r="A227" s="333"/>
      <c r="B227" s="325"/>
      <c r="C227" s="101"/>
      <c r="D227" s="101"/>
      <c r="E227" s="101"/>
      <c r="F227" s="40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40"/>
      <c r="T227" s="101"/>
      <c r="U227" s="101"/>
      <c r="V227" s="40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</row>
    <row r="228" spans="1:34" ht="15.75">
      <c r="A228" s="333"/>
      <c r="B228" s="325"/>
      <c r="C228" s="101"/>
      <c r="D228" s="101"/>
      <c r="E228" s="101"/>
      <c r="F228" s="4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40"/>
      <c r="T228" s="101"/>
      <c r="U228" s="101"/>
      <c r="V228" s="40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</row>
    <row r="229" spans="1:34" ht="15.75">
      <c r="A229" s="333"/>
      <c r="B229" s="325"/>
      <c r="C229" s="101"/>
      <c r="D229" s="101"/>
      <c r="E229" s="101"/>
      <c r="F229" s="4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40"/>
      <c r="T229" s="101"/>
      <c r="U229" s="101"/>
      <c r="V229" s="40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</row>
    <row r="230" spans="1:34" ht="15.75">
      <c r="A230" s="333"/>
      <c r="B230" s="325"/>
      <c r="C230" s="101"/>
      <c r="D230" s="101"/>
      <c r="E230" s="101"/>
      <c r="F230" s="4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40"/>
      <c r="T230" s="101"/>
      <c r="U230" s="101"/>
      <c r="V230" s="40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</row>
    <row r="231" spans="1:34" ht="15.75">
      <c r="A231" s="333"/>
      <c r="B231" s="325"/>
      <c r="C231" s="101"/>
      <c r="D231" s="101"/>
      <c r="E231" s="101"/>
      <c r="F231" s="4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40"/>
      <c r="T231" s="101"/>
      <c r="U231" s="101"/>
      <c r="V231" s="40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</row>
    <row r="232" spans="1:34" ht="15.75">
      <c r="A232" s="333"/>
      <c r="B232" s="325"/>
      <c r="C232" s="101"/>
      <c r="D232" s="101"/>
      <c r="E232" s="101"/>
      <c r="F232" s="40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40"/>
      <c r="T232" s="101"/>
      <c r="U232" s="101"/>
      <c r="V232" s="40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</row>
    <row r="233" spans="1:34" ht="15.75">
      <c r="A233" s="333"/>
      <c r="B233" s="325"/>
      <c r="C233" s="101"/>
      <c r="D233" s="101"/>
      <c r="E233" s="101"/>
      <c r="F233" s="4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40"/>
      <c r="T233" s="101"/>
      <c r="U233" s="101"/>
      <c r="V233" s="40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</row>
    <row r="234" spans="1:34" ht="15.75">
      <c r="A234" s="333"/>
      <c r="B234" s="325"/>
      <c r="C234" s="101"/>
      <c r="D234" s="101"/>
      <c r="E234" s="101"/>
      <c r="F234" s="4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40"/>
      <c r="T234" s="101"/>
      <c r="U234" s="101"/>
      <c r="V234" s="40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</row>
    <row r="235" spans="1:34" ht="15.75">
      <c r="A235" s="333"/>
      <c r="B235" s="325"/>
      <c r="C235" s="101"/>
      <c r="D235" s="101"/>
      <c r="E235" s="101"/>
      <c r="F235" s="4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40"/>
      <c r="T235" s="101"/>
      <c r="U235" s="101"/>
      <c r="V235" s="40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</row>
    <row r="236" spans="1:34" ht="15.75">
      <c r="A236" s="333"/>
      <c r="B236" s="325"/>
      <c r="C236" s="101"/>
      <c r="D236" s="101"/>
      <c r="E236" s="101"/>
      <c r="F236" s="4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40"/>
      <c r="T236" s="101"/>
      <c r="U236" s="101"/>
      <c r="V236" s="40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</row>
    <row r="237" spans="1:34" ht="15.75">
      <c r="A237" s="333"/>
      <c r="B237" s="325"/>
      <c r="C237" s="101"/>
      <c r="D237" s="101"/>
      <c r="E237" s="101"/>
      <c r="F237" s="40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40"/>
      <c r="T237" s="101"/>
      <c r="U237" s="101"/>
      <c r="V237" s="40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</row>
  </sheetData>
  <sheetProtection/>
  <printOptions/>
  <pageMargins left="0" right="0" top="1.3779527559055118" bottom="0.3937007874015748" header="0.5118110236220472" footer="0.5118110236220472"/>
  <pageSetup horizontalDpi="600" verticalDpi="600" orientation="landscape" paperSize="9" scale="52" r:id="rId1"/>
  <rowBreaks count="2" manualBreakCount="2">
    <brk id="45" max="255" man="1"/>
    <brk id="79" max="2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18"/>
  <sheetViews>
    <sheetView zoomScale="60" zoomScaleNormal="60" zoomScalePageLayoutView="0" workbookViewId="0" topLeftCell="A103">
      <selection activeCell="I10" sqref="I10"/>
    </sheetView>
  </sheetViews>
  <sheetFormatPr defaultColWidth="9.00390625" defaultRowHeight="12.75"/>
  <cols>
    <col min="1" max="1" width="46.375" style="0" customWidth="1"/>
    <col min="2" max="2" width="37.25390625" style="0" customWidth="1"/>
    <col min="3" max="3" width="9.625" style="0" bestFit="1" customWidth="1"/>
  </cols>
  <sheetData>
    <row r="1" spans="1:13" ht="20.25">
      <c r="A1" s="1131" t="s">
        <v>332</v>
      </c>
      <c r="B1" s="1131"/>
      <c r="C1" s="1131"/>
      <c r="D1" s="1131"/>
      <c r="E1" s="1131"/>
      <c r="F1" s="1131"/>
      <c r="G1" s="1131"/>
      <c r="H1" s="1131"/>
      <c r="I1" s="1131"/>
      <c r="J1" s="1131"/>
      <c r="K1" s="1131"/>
      <c r="L1" s="1131"/>
      <c r="M1" s="1131"/>
    </row>
    <row r="2" spans="1:13" ht="20.25">
      <c r="A2" s="1131" t="s">
        <v>423</v>
      </c>
      <c r="B2" s="1131"/>
      <c r="C2" s="1131"/>
      <c r="D2" s="1131"/>
      <c r="E2" s="1131"/>
      <c r="F2" s="1131"/>
      <c r="G2" s="1131"/>
      <c r="H2" s="1131"/>
      <c r="I2" s="1131"/>
      <c r="J2" s="1131"/>
      <c r="K2" s="1131"/>
      <c r="L2" s="1131"/>
      <c r="M2" s="1131"/>
    </row>
    <row r="3" spans="1:13" ht="18.75">
      <c r="A3" s="461"/>
      <c r="B3" s="462"/>
      <c r="C3" s="130"/>
      <c r="D3" s="516"/>
      <c r="E3" s="458"/>
      <c r="F3" s="458"/>
      <c r="G3" s="458"/>
      <c r="H3" s="458"/>
      <c r="I3" s="458"/>
      <c r="J3" s="458"/>
      <c r="K3" s="458"/>
      <c r="L3" s="458"/>
      <c r="M3" s="458"/>
    </row>
    <row r="4" spans="1:13" ht="18.75">
      <c r="A4" s="463"/>
      <c r="B4" s="463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</row>
    <row r="5" spans="1:13" ht="18.75">
      <c r="A5" s="464" t="s">
        <v>268</v>
      </c>
      <c r="B5" s="465" t="s">
        <v>269</v>
      </c>
      <c r="C5" s="466" t="s">
        <v>62</v>
      </c>
      <c r="D5" s="467" t="s">
        <v>63</v>
      </c>
      <c r="E5" s="467" t="s">
        <v>171</v>
      </c>
      <c r="F5" s="467" t="s">
        <v>172</v>
      </c>
      <c r="G5" s="467" t="s">
        <v>173</v>
      </c>
      <c r="H5" s="468" t="s">
        <v>64</v>
      </c>
      <c r="I5" s="468" t="s">
        <v>493</v>
      </c>
      <c r="J5" s="468" t="s">
        <v>43</v>
      </c>
      <c r="K5" s="468" t="s">
        <v>44</v>
      </c>
      <c r="L5" s="469" t="s">
        <v>65</v>
      </c>
      <c r="M5" s="470" t="s">
        <v>66</v>
      </c>
    </row>
    <row r="6" spans="1:13" ht="18.75">
      <c r="A6" s="471"/>
      <c r="B6" s="472"/>
      <c r="C6" s="473">
        <v>2007</v>
      </c>
      <c r="D6" s="472" t="s">
        <v>424</v>
      </c>
      <c r="E6" s="472"/>
      <c r="F6" s="472"/>
      <c r="G6" s="472"/>
      <c r="H6" s="471" t="s">
        <v>425</v>
      </c>
      <c r="I6" s="474"/>
      <c r="J6" s="474"/>
      <c r="K6" s="474"/>
      <c r="L6" s="475" t="s">
        <v>426</v>
      </c>
      <c r="M6" s="473" t="s">
        <v>427</v>
      </c>
    </row>
    <row r="7" spans="1:13" ht="18.75">
      <c r="A7" s="468"/>
      <c r="B7" s="476"/>
      <c r="C7" s="477"/>
      <c r="D7" s="468"/>
      <c r="E7" s="468"/>
      <c r="F7" s="468"/>
      <c r="G7" s="468"/>
      <c r="H7" s="468"/>
      <c r="I7" s="468"/>
      <c r="J7" s="468"/>
      <c r="K7" s="468"/>
      <c r="L7" s="468"/>
      <c r="M7" s="468"/>
    </row>
    <row r="8" spans="1:13" ht="18.75">
      <c r="A8" s="478" t="s">
        <v>528</v>
      </c>
      <c r="B8" s="479" t="s">
        <v>270</v>
      </c>
      <c r="C8" s="480">
        <f>C10+C21+C29+C51+C55+C70</f>
        <v>8655</v>
      </c>
      <c r="D8" s="480">
        <f>D10+D21+D29+D51+D55+D70</f>
        <v>2439</v>
      </c>
      <c r="E8" s="480">
        <f aca="true" t="shared" si="0" ref="E8:M8">E10+E21+E29+E51+E55+E70</f>
        <v>0</v>
      </c>
      <c r="F8" s="480">
        <f t="shared" si="0"/>
        <v>0</v>
      </c>
      <c r="G8" s="480">
        <f t="shared" si="0"/>
        <v>0</v>
      </c>
      <c r="H8" s="480">
        <f t="shared" si="0"/>
        <v>2434</v>
      </c>
      <c r="I8" s="480">
        <f t="shared" si="0"/>
        <v>0</v>
      </c>
      <c r="J8" s="480">
        <f t="shared" si="0"/>
        <v>0</v>
      </c>
      <c r="K8" s="480">
        <f t="shared" si="0"/>
        <v>0</v>
      </c>
      <c r="L8" s="480">
        <f t="shared" si="0"/>
        <v>1854</v>
      </c>
      <c r="M8" s="480">
        <f t="shared" si="0"/>
        <v>1821</v>
      </c>
    </row>
    <row r="9" spans="1:13" ht="18.75">
      <c r="A9" s="468"/>
      <c r="B9" s="479"/>
      <c r="C9" s="480">
        <f aca="true" t="shared" si="1" ref="C9:C69">SUM(D9:M9)</f>
        <v>0</v>
      </c>
      <c r="D9" s="477"/>
      <c r="E9" s="477"/>
      <c r="F9" s="477"/>
      <c r="G9" s="477"/>
      <c r="H9" s="477"/>
      <c r="I9" s="477"/>
      <c r="J9" s="477"/>
      <c r="K9" s="477"/>
      <c r="L9" s="477"/>
      <c r="M9" s="477"/>
    </row>
    <row r="10" spans="1:13" ht="19.5">
      <c r="A10" s="481" t="s">
        <v>271</v>
      </c>
      <c r="B10" s="478" t="s">
        <v>272</v>
      </c>
      <c r="C10" s="480">
        <f t="shared" si="1"/>
        <v>7000</v>
      </c>
      <c r="D10" s="480">
        <f>D11+D12</f>
        <v>2000</v>
      </c>
      <c r="E10" s="480"/>
      <c r="F10" s="480"/>
      <c r="G10" s="480"/>
      <c r="H10" s="480">
        <f>H11+H12</f>
        <v>2000</v>
      </c>
      <c r="I10" s="480"/>
      <c r="J10" s="480"/>
      <c r="K10" s="480"/>
      <c r="L10" s="480">
        <f>L11+L12</f>
        <v>1500</v>
      </c>
      <c r="M10" s="480">
        <f>M11+M12</f>
        <v>1500</v>
      </c>
    </row>
    <row r="11" spans="1:13" ht="18.75">
      <c r="A11" s="482"/>
      <c r="B11" s="479"/>
      <c r="C11" s="480">
        <f t="shared" si="1"/>
        <v>0</v>
      </c>
      <c r="D11" s="477"/>
      <c r="E11" s="477"/>
      <c r="F11" s="477"/>
      <c r="G11" s="477"/>
      <c r="H11" s="477"/>
      <c r="I11" s="477"/>
      <c r="J11" s="477"/>
      <c r="K11" s="477"/>
      <c r="L11" s="477"/>
      <c r="M11" s="477"/>
    </row>
    <row r="12" spans="1:13" ht="18.75">
      <c r="A12" s="483" t="s">
        <v>273</v>
      </c>
      <c r="B12" s="479" t="s">
        <v>274</v>
      </c>
      <c r="C12" s="480">
        <f t="shared" si="1"/>
        <v>7000</v>
      </c>
      <c r="D12" s="477">
        <f>D13+D14+D17+D18+D19</f>
        <v>2000</v>
      </c>
      <c r="E12" s="477"/>
      <c r="F12" s="477"/>
      <c r="G12" s="477"/>
      <c r="H12" s="477">
        <f>H13+H14+H17+H18+H19</f>
        <v>2000</v>
      </c>
      <c r="I12" s="477"/>
      <c r="J12" s="477"/>
      <c r="K12" s="477"/>
      <c r="L12" s="477">
        <f>L13+L14+L17+L18+L19</f>
        <v>1500</v>
      </c>
      <c r="M12" s="477">
        <f>M13+M14+M17+M18+M19</f>
        <v>1500</v>
      </c>
    </row>
    <row r="13" spans="1:13" ht="75">
      <c r="A13" s="484" t="s">
        <v>706</v>
      </c>
      <c r="B13" s="479" t="s">
        <v>401</v>
      </c>
      <c r="C13" s="480">
        <f t="shared" si="1"/>
        <v>0</v>
      </c>
      <c r="D13" s="477"/>
      <c r="E13" s="477"/>
      <c r="F13" s="477"/>
      <c r="G13" s="477"/>
      <c r="H13" s="477"/>
      <c r="I13" s="477"/>
      <c r="J13" s="477"/>
      <c r="K13" s="477"/>
      <c r="L13" s="477"/>
      <c r="M13" s="477"/>
    </row>
    <row r="14" spans="1:13" ht="75">
      <c r="A14" s="483" t="s">
        <v>435</v>
      </c>
      <c r="B14" s="479" t="s">
        <v>402</v>
      </c>
      <c r="C14" s="480">
        <f t="shared" si="1"/>
        <v>7000</v>
      </c>
      <c r="D14" s="477">
        <f>D15+D16</f>
        <v>2000</v>
      </c>
      <c r="E14" s="477"/>
      <c r="F14" s="477"/>
      <c r="G14" s="477"/>
      <c r="H14" s="477">
        <f>H15+H16</f>
        <v>2000</v>
      </c>
      <c r="I14" s="477"/>
      <c r="J14" s="477"/>
      <c r="K14" s="477"/>
      <c r="L14" s="477">
        <f>L15+L16</f>
        <v>1500</v>
      </c>
      <c r="M14" s="477">
        <f>M15+M16</f>
        <v>1500</v>
      </c>
    </row>
    <row r="15" spans="1:13" ht="187.5">
      <c r="A15" s="483" t="s">
        <v>436</v>
      </c>
      <c r="B15" s="479" t="s">
        <v>403</v>
      </c>
      <c r="C15" s="480">
        <f>SUM(D15:M15)</f>
        <v>7000</v>
      </c>
      <c r="D15" s="477">
        <v>2000</v>
      </c>
      <c r="E15" s="477">
        <v>0</v>
      </c>
      <c r="F15" s="477">
        <v>0</v>
      </c>
      <c r="G15" s="477">
        <v>0</v>
      </c>
      <c r="H15" s="477">
        <v>2000</v>
      </c>
      <c r="I15" s="477"/>
      <c r="J15" s="477"/>
      <c r="K15" s="477"/>
      <c r="L15" s="477">
        <v>1500</v>
      </c>
      <c r="M15" s="477">
        <v>1500</v>
      </c>
    </row>
    <row r="16" spans="1:13" ht="18.75">
      <c r="A16" s="485" t="s">
        <v>275</v>
      </c>
      <c r="B16" s="479" t="s">
        <v>404</v>
      </c>
      <c r="C16" s="480">
        <f t="shared" si="1"/>
        <v>0</v>
      </c>
      <c r="D16" s="477"/>
      <c r="E16" s="477"/>
      <c r="F16" s="477"/>
      <c r="G16" s="477"/>
      <c r="H16" s="477"/>
      <c r="I16" s="477"/>
      <c r="J16" s="477"/>
      <c r="K16" s="477"/>
      <c r="L16" s="477"/>
      <c r="M16" s="477"/>
    </row>
    <row r="17" spans="1:13" ht="18.75">
      <c r="A17" s="485" t="s">
        <v>276</v>
      </c>
      <c r="B17" s="479" t="s">
        <v>405</v>
      </c>
      <c r="C17" s="480">
        <f t="shared" si="1"/>
        <v>0</v>
      </c>
      <c r="D17" s="477"/>
      <c r="E17" s="477"/>
      <c r="F17" s="477"/>
      <c r="G17" s="477"/>
      <c r="H17" s="477"/>
      <c r="I17" s="477"/>
      <c r="J17" s="477"/>
      <c r="K17" s="477"/>
      <c r="L17" s="477"/>
      <c r="M17" s="477"/>
    </row>
    <row r="18" spans="1:13" ht="18.75">
      <c r="A18" s="485" t="s">
        <v>277</v>
      </c>
      <c r="B18" s="479" t="s">
        <v>406</v>
      </c>
      <c r="C18" s="480">
        <f t="shared" si="1"/>
        <v>0</v>
      </c>
      <c r="D18" s="477"/>
      <c r="E18" s="477"/>
      <c r="F18" s="477"/>
      <c r="G18" s="477"/>
      <c r="H18" s="477"/>
      <c r="I18" s="477"/>
      <c r="J18" s="477"/>
      <c r="K18" s="477"/>
      <c r="L18" s="477"/>
      <c r="M18" s="477"/>
    </row>
    <row r="19" spans="1:13" ht="18.75">
      <c r="A19" s="485" t="s">
        <v>278</v>
      </c>
      <c r="B19" s="479" t="s">
        <v>407</v>
      </c>
      <c r="C19" s="480">
        <f t="shared" si="1"/>
        <v>0</v>
      </c>
      <c r="D19" s="477"/>
      <c r="E19" s="477"/>
      <c r="F19" s="477"/>
      <c r="G19" s="477"/>
      <c r="H19" s="477"/>
      <c r="I19" s="477"/>
      <c r="J19" s="477"/>
      <c r="K19" s="477"/>
      <c r="L19" s="477"/>
      <c r="M19" s="477"/>
    </row>
    <row r="20" spans="1:13" ht="168.75">
      <c r="A20" s="483" t="s">
        <v>439</v>
      </c>
      <c r="B20" s="479" t="s">
        <v>404</v>
      </c>
      <c r="C20" s="480">
        <f t="shared" si="1"/>
        <v>0</v>
      </c>
      <c r="D20" s="477"/>
      <c r="E20" s="477"/>
      <c r="F20" s="477"/>
      <c r="G20" s="477"/>
      <c r="H20" s="477"/>
      <c r="I20" s="477"/>
      <c r="J20" s="477"/>
      <c r="K20" s="477"/>
      <c r="L20" s="477"/>
      <c r="M20" s="477"/>
    </row>
    <row r="21" spans="1:13" ht="19.5">
      <c r="A21" s="486" t="s">
        <v>279</v>
      </c>
      <c r="B21" s="479" t="s">
        <v>441</v>
      </c>
      <c r="C21" s="480">
        <f t="shared" si="1"/>
        <v>8</v>
      </c>
      <c r="D21" s="477">
        <f>D22+D25+D26</f>
        <v>2</v>
      </c>
      <c r="E21" s="477"/>
      <c r="F21" s="477"/>
      <c r="G21" s="477"/>
      <c r="H21" s="477">
        <f>H22+H25+H26</f>
        <v>2</v>
      </c>
      <c r="I21" s="477"/>
      <c r="J21" s="477"/>
      <c r="K21" s="477"/>
      <c r="L21" s="477">
        <f>L22+L25+L26</f>
        <v>2</v>
      </c>
      <c r="M21" s="477">
        <f>M22+M25+M26</f>
        <v>2</v>
      </c>
    </row>
    <row r="22" spans="1:13" ht="56.25">
      <c r="A22" s="487" t="s">
        <v>440</v>
      </c>
      <c r="B22" s="479" t="s">
        <v>442</v>
      </c>
      <c r="C22" s="480">
        <f t="shared" si="1"/>
        <v>8</v>
      </c>
      <c r="D22" s="477">
        <f>D27</f>
        <v>2</v>
      </c>
      <c r="E22" s="477"/>
      <c r="F22" s="477"/>
      <c r="G22" s="477"/>
      <c r="H22" s="477">
        <f>H27</f>
        <v>2</v>
      </c>
      <c r="I22" s="477"/>
      <c r="J22" s="477"/>
      <c r="K22" s="477"/>
      <c r="L22" s="477">
        <f>L27</f>
        <v>2</v>
      </c>
      <c r="M22" s="477">
        <f>M27</f>
        <v>2</v>
      </c>
    </row>
    <row r="23" spans="1:13" ht="18.75">
      <c r="A23" s="468" t="s">
        <v>309</v>
      </c>
      <c r="B23" s="479" t="s">
        <v>408</v>
      </c>
      <c r="C23" s="480">
        <f t="shared" si="1"/>
        <v>0</v>
      </c>
      <c r="D23" s="477"/>
      <c r="E23" s="477"/>
      <c r="F23" s="477"/>
      <c r="G23" s="477"/>
      <c r="H23" s="477"/>
      <c r="I23" s="477"/>
      <c r="J23" s="477"/>
      <c r="K23" s="477"/>
      <c r="L23" s="477"/>
      <c r="M23" s="477"/>
    </row>
    <row r="24" spans="1:13" ht="18.75">
      <c r="A24" s="468" t="s">
        <v>316</v>
      </c>
      <c r="B24" s="479" t="s">
        <v>409</v>
      </c>
      <c r="C24" s="480">
        <f t="shared" si="1"/>
        <v>0</v>
      </c>
      <c r="D24" s="477"/>
      <c r="E24" s="477"/>
      <c r="F24" s="477"/>
      <c r="G24" s="477"/>
      <c r="H24" s="477"/>
      <c r="I24" s="477"/>
      <c r="J24" s="477"/>
      <c r="K24" s="477"/>
      <c r="L24" s="477"/>
      <c r="M24" s="477"/>
    </row>
    <row r="25" spans="1:13" ht="18.75">
      <c r="A25" s="468" t="s">
        <v>280</v>
      </c>
      <c r="B25" s="479" t="s">
        <v>410</v>
      </c>
      <c r="C25" s="480">
        <f t="shared" si="1"/>
        <v>0</v>
      </c>
      <c r="D25" s="477"/>
      <c r="E25" s="477"/>
      <c r="F25" s="477"/>
      <c r="G25" s="477"/>
      <c r="H25" s="477"/>
      <c r="I25" s="477"/>
      <c r="J25" s="477"/>
      <c r="K25" s="477"/>
      <c r="L25" s="477"/>
      <c r="M25" s="477"/>
    </row>
    <row r="26" spans="1:13" ht="18.75">
      <c r="A26" s="468" t="s">
        <v>281</v>
      </c>
      <c r="B26" s="479" t="s">
        <v>411</v>
      </c>
      <c r="C26" s="480">
        <f t="shared" si="1"/>
        <v>0</v>
      </c>
      <c r="D26" s="488"/>
      <c r="E26" s="488"/>
      <c r="F26" s="488"/>
      <c r="G26" s="488"/>
      <c r="H26" s="488"/>
      <c r="I26" s="488"/>
      <c r="J26" s="488"/>
      <c r="K26" s="488"/>
      <c r="L26" s="488"/>
      <c r="M26" s="488"/>
    </row>
    <row r="27" spans="1:13" ht="75">
      <c r="A27" s="487" t="s">
        <v>310</v>
      </c>
      <c r="B27" s="479" t="s">
        <v>311</v>
      </c>
      <c r="C27" s="480">
        <f t="shared" si="1"/>
        <v>8</v>
      </c>
      <c r="D27" s="477">
        <v>2</v>
      </c>
      <c r="E27" s="477"/>
      <c r="F27" s="477"/>
      <c r="G27" s="477"/>
      <c r="H27" s="477">
        <v>2</v>
      </c>
      <c r="I27" s="477"/>
      <c r="J27" s="477"/>
      <c r="K27" s="477"/>
      <c r="L27" s="477">
        <v>2</v>
      </c>
      <c r="M27" s="477">
        <v>2</v>
      </c>
    </row>
    <row r="28" spans="1:13" ht="93.75">
      <c r="A28" s="487" t="s">
        <v>312</v>
      </c>
      <c r="B28" s="479" t="s">
        <v>313</v>
      </c>
      <c r="C28" s="480"/>
      <c r="D28" s="477"/>
      <c r="E28" s="477"/>
      <c r="F28" s="477"/>
      <c r="G28" s="477"/>
      <c r="H28" s="477"/>
      <c r="I28" s="477"/>
      <c r="J28" s="477"/>
      <c r="K28" s="477"/>
      <c r="L28" s="477"/>
      <c r="M28" s="477"/>
    </row>
    <row r="29" spans="1:13" ht="19.5">
      <c r="A29" s="489" t="s">
        <v>282</v>
      </c>
      <c r="B29" s="476" t="s">
        <v>443</v>
      </c>
      <c r="C29" s="480">
        <f>C30+C33+C36</f>
        <v>997</v>
      </c>
      <c r="D29" s="477">
        <f>D30+D33+D36</f>
        <v>293</v>
      </c>
      <c r="E29" s="477">
        <f aca="true" t="shared" si="2" ref="E29:M29">E30+E33+E36</f>
        <v>0</v>
      </c>
      <c r="F29" s="477">
        <f t="shared" si="2"/>
        <v>0</v>
      </c>
      <c r="G29" s="477">
        <f t="shared" si="2"/>
        <v>0</v>
      </c>
      <c r="H29" s="477">
        <f t="shared" si="2"/>
        <v>293</v>
      </c>
      <c r="I29" s="477">
        <f t="shared" si="2"/>
        <v>0</v>
      </c>
      <c r="J29" s="477">
        <f t="shared" si="2"/>
        <v>0</v>
      </c>
      <c r="K29" s="477">
        <f t="shared" si="2"/>
        <v>0</v>
      </c>
      <c r="L29" s="477">
        <f t="shared" si="2"/>
        <v>201</v>
      </c>
      <c r="M29" s="477">
        <f t="shared" si="2"/>
        <v>168</v>
      </c>
    </row>
    <row r="30" spans="1:13" ht="18.75">
      <c r="A30" s="468" t="s">
        <v>283</v>
      </c>
      <c r="B30" s="479" t="s">
        <v>412</v>
      </c>
      <c r="C30" s="480">
        <f t="shared" si="1"/>
        <v>300</v>
      </c>
      <c r="D30" s="477">
        <f>D31+D32</f>
        <v>0</v>
      </c>
      <c r="E30" s="477"/>
      <c r="F30" s="477"/>
      <c r="G30" s="477"/>
      <c r="H30" s="477">
        <f>H31+H32</f>
        <v>0</v>
      </c>
      <c r="I30" s="477"/>
      <c r="J30" s="477"/>
      <c r="K30" s="477"/>
      <c r="L30" s="477">
        <f>L31+L32</f>
        <v>150</v>
      </c>
      <c r="M30" s="477">
        <f>M31+M32</f>
        <v>150</v>
      </c>
    </row>
    <row r="31" spans="1:13" ht="18.75">
      <c r="A31" s="468"/>
      <c r="B31" s="479"/>
      <c r="C31" s="480">
        <f t="shared" si="1"/>
        <v>0</v>
      </c>
      <c r="D31" s="477"/>
      <c r="E31" s="477"/>
      <c r="F31" s="477"/>
      <c r="G31" s="477"/>
      <c r="H31" s="477"/>
      <c r="I31" s="477"/>
      <c r="J31" s="477"/>
      <c r="K31" s="477"/>
      <c r="L31" s="477"/>
      <c r="M31" s="477"/>
    </row>
    <row r="32" spans="1:13" ht="93.75">
      <c r="A32" s="487" t="s">
        <v>471</v>
      </c>
      <c r="B32" s="479" t="s">
        <v>413</v>
      </c>
      <c r="C32" s="480">
        <f t="shared" si="1"/>
        <v>300</v>
      </c>
      <c r="D32" s="477">
        <v>0</v>
      </c>
      <c r="E32" s="477"/>
      <c r="F32" s="477"/>
      <c r="G32" s="477"/>
      <c r="H32" s="477">
        <v>0</v>
      </c>
      <c r="I32" s="477"/>
      <c r="J32" s="477"/>
      <c r="K32" s="477"/>
      <c r="L32" s="477">
        <v>150</v>
      </c>
      <c r="M32" s="477">
        <v>150</v>
      </c>
    </row>
    <row r="33" spans="1:13" ht="18.75">
      <c r="A33" s="487" t="s">
        <v>482</v>
      </c>
      <c r="B33" s="479" t="s">
        <v>481</v>
      </c>
      <c r="C33" s="480">
        <f>C34+C35</f>
        <v>628</v>
      </c>
      <c r="D33" s="477">
        <f>D34+D35</f>
        <v>293</v>
      </c>
      <c r="E33" s="477">
        <f aca="true" t="shared" si="3" ref="E33:M33">E34+E35</f>
        <v>0</v>
      </c>
      <c r="F33" s="477">
        <f t="shared" si="3"/>
        <v>0</v>
      </c>
      <c r="G33" s="477">
        <f t="shared" si="3"/>
        <v>0</v>
      </c>
      <c r="H33" s="477">
        <f t="shared" si="3"/>
        <v>293</v>
      </c>
      <c r="I33" s="477">
        <f t="shared" si="3"/>
        <v>0</v>
      </c>
      <c r="J33" s="477">
        <f t="shared" si="3"/>
        <v>0</v>
      </c>
      <c r="K33" s="477">
        <f t="shared" si="3"/>
        <v>0</v>
      </c>
      <c r="L33" s="477">
        <f t="shared" si="3"/>
        <v>0</v>
      </c>
      <c r="M33" s="477">
        <f t="shared" si="3"/>
        <v>0</v>
      </c>
    </row>
    <row r="34" spans="1:13" ht="18.75">
      <c r="A34" s="487" t="s">
        <v>483</v>
      </c>
      <c r="B34" s="479" t="s">
        <v>484</v>
      </c>
      <c r="C34" s="480">
        <v>100</v>
      </c>
      <c r="D34" s="477">
        <v>12</v>
      </c>
      <c r="E34" s="477"/>
      <c r="F34" s="477"/>
      <c r="G34" s="477"/>
      <c r="H34" s="477">
        <v>12</v>
      </c>
      <c r="I34" s="477"/>
      <c r="J34" s="477"/>
      <c r="K34" s="477"/>
      <c r="L34" s="477"/>
      <c r="M34" s="477"/>
    </row>
    <row r="35" spans="1:13" ht="37.5">
      <c r="A35" s="487" t="s">
        <v>485</v>
      </c>
      <c r="B35" s="479" t="s">
        <v>486</v>
      </c>
      <c r="C35" s="480">
        <v>528</v>
      </c>
      <c r="D35" s="477">
        <v>281</v>
      </c>
      <c r="E35" s="477"/>
      <c r="F35" s="477"/>
      <c r="G35" s="477"/>
      <c r="H35" s="477">
        <v>281</v>
      </c>
      <c r="I35" s="477"/>
      <c r="J35" s="477"/>
      <c r="K35" s="477"/>
      <c r="L35" s="477"/>
      <c r="M35" s="477"/>
    </row>
    <row r="36" spans="1:13" ht="18.75">
      <c r="A36" s="468" t="s">
        <v>284</v>
      </c>
      <c r="B36" s="479" t="s">
        <v>414</v>
      </c>
      <c r="C36" s="480">
        <f>SUM(D36:M36)</f>
        <v>69</v>
      </c>
      <c r="D36" s="477">
        <f>D37+D38</f>
        <v>0</v>
      </c>
      <c r="E36" s="477"/>
      <c r="F36" s="477"/>
      <c r="G36" s="477"/>
      <c r="H36" s="477">
        <f>H37+H38</f>
        <v>0</v>
      </c>
      <c r="I36" s="477"/>
      <c r="J36" s="477"/>
      <c r="K36" s="477"/>
      <c r="L36" s="477">
        <f>L37+L38</f>
        <v>51</v>
      </c>
      <c r="M36" s="477">
        <f>M37+M38</f>
        <v>18</v>
      </c>
    </row>
    <row r="37" spans="1:13" ht="93.75">
      <c r="A37" s="490" t="s">
        <v>606</v>
      </c>
      <c r="B37" s="476" t="s">
        <v>607</v>
      </c>
      <c r="C37" s="480">
        <f t="shared" si="1"/>
        <v>35</v>
      </c>
      <c r="D37" s="477">
        <v>0</v>
      </c>
      <c r="E37" s="477"/>
      <c r="F37" s="477"/>
      <c r="G37" s="477"/>
      <c r="H37" s="477">
        <v>0</v>
      </c>
      <c r="I37" s="477"/>
      <c r="J37" s="477"/>
      <c r="K37" s="477"/>
      <c r="L37" s="477">
        <v>17</v>
      </c>
      <c r="M37" s="477">
        <v>18</v>
      </c>
    </row>
    <row r="38" spans="1:13" ht="93.75">
      <c r="A38" s="490" t="s">
        <v>608</v>
      </c>
      <c r="B38" s="476" t="s">
        <v>609</v>
      </c>
      <c r="C38" s="480">
        <f t="shared" si="1"/>
        <v>34</v>
      </c>
      <c r="D38" s="477">
        <v>0</v>
      </c>
      <c r="E38" s="477"/>
      <c r="F38" s="477"/>
      <c r="G38" s="477"/>
      <c r="H38" s="477"/>
      <c r="I38" s="477"/>
      <c r="J38" s="477"/>
      <c r="K38" s="477"/>
      <c r="L38" s="477">
        <v>34</v>
      </c>
      <c r="M38" s="477"/>
    </row>
    <row r="39" spans="1:13" ht="19.5">
      <c r="A39" s="486" t="s">
        <v>285</v>
      </c>
      <c r="B39" s="479" t="s">
        <v>286</v>
      </c>
      <c r="C39" s="480">
        <f t="shared" si="1"/>
        <v>0</v>
      </c>
      <c r="D39" s="477">
        <f>D40+D41+D42</f>
        <v>0</v>
      </c>
      <c r="E39" s="477"/>
      <c r="F39" s="477"/>
      <c r="G39" s="477"/>
      <c r="H39" s="477">
        <f>H40+H41+H42</f>
        <v>0</v>
      </c>
      <c r="I39" s="477"/>
      <c r="J39" s="477"/>
      <c r="K39" s="477"/>
      <c r="L39" s="477">
        <f>L40+L41+L42</f>
        <v>0</v>
      </c>
      <c r="M39" s="477">
        <f>M40+M41+M42</f>
        <v>0</v>
      </c>
    </row>
    <row r="40" spans="1:13" ht="18.75">
      <c r="A40" s="485" t="s">
        <v>287</v>
      </c>
      <c r="B40" s="479" t="s">
        <v>415</v>
      </c>
      <c r="C40" s="480">
        <f t="shared" si="1"/>
        <v>0</v>
      </c>
      <c r="D40" s="477"/>
      <c r="E40" s="477"/>
      <c r="F40" s="477"/>
      <c r="G40" s="477"/>
      <c r="H40" s="477"/>
      <c r="I40" s="477"/>
      <c r="J40" s="477"/>
      <c r="K40" s="477"/>
      <c r="L40" s="477"/>
      <c r="M40" s="477"/>
    </row>
    <row r="41" spans="1:13" ht="18.75">
      <c r="A41" s="468" t="s">
        <v>288</v>
      </c>
      <c r="B41" s="479" t="s">
        <v>416</v>
      </c>
      <c r="C41" s="480">
        <f t="shared" si="1"/>
        <v>0</v>
      </c>
      <c r="D41" s="477"/>
      <c r="E41" s="477"/>
      <c r="F41" s="477"/>
      <c r="G41" s="477"/>
      <c r="H41" s="477"/>
      <c r="I41" s="477"/>
      <c r="J41" s="477"/>
      <c r="K41" s="477"/>
      <c r="L41" s="477"/>
      <c r="M41" s="477"/>
    </row>
    <row r="42" spans="1:13" ht="18.75">
      <c r="A42" s="468" t="s">
        <v>289</v>
      </c>
      <c r="B42" s="479" t="s">
        <v>290</v>
      </c>
      <c r="C42" s="480">
        <f t="shared" si="1"/>
        <v>0</v>
      </c>
      <c r="D42" s="477">
        <f>D43</f>
        <v>0</v>
      </c>
      <c r="E42" s="477"/>
      <c r="F42" s="477"/>
      <c r="G42" s="477"/>
      <c r="H42" s="477">
        <f>H43</f>
        <v>0</v>
      </c>
      <c r="I42" s="477"/>
      <c r="J42" s="477"/>
      <c r="K42" s="477"/>
      <c r="L42" s="477">
        <f>L43</f>
        <v>0</v>
      </c>
      <c r="M42" s="477">
        <f>M43</f>
        <v>0</v>
      </c>
    </row>
    <row r="43" spans="1:13" ht="18.75">
      <c r="A43" s="468" t="s">
        <v>317</v>
      </c>
      <c r="B43" s="479" t="s">
        <v>417</v>
      </c>
      <c r="C43" s="480">
        <f t="shared" si="1"/>
        <v>0</v>
      </c>
      <c r="D43" s="477"/>
      <c r="E43" s="477"/>
      <c r="F43" s="477"/>
      <c r="G43" s="477"/>
      <c r="H43" s="477"/>
      <c r="I43" s="477"/>
      <c r="J43" s="477"/>
      <c r="K43" s="477"/>
      <c r="L43" s="477"/>
      <c r="M43" s="477"/>
    </row>
    <row r="44" spans="1:13" ht="18.75">
      <c r="A44" s="468"/>
      <c r="B44" s="479"/>
      <c r="C44" s="480">
        <f t="shared" si="1"/>
        <v>0</v>
      </c>
      <c r="D44" s="477"/>
      <c r="E44" s="477"/>
      <c r="F44" s="477"/>
      <c r="G44" s="477"/>
      <c r="H44" s="477"/>
      <c r="I44" s="477"/>
      <c r="J44" s="477"/>
      <c r="K44" s="477"/>
      <c r="L44" s="477"/>
      <c r="M44" s="477"/>
    </row>
    <row r="45" spans="1:13" ht="19.5">
      <c r="A45" s="486" t="s">
        <v>291</v>
      </c>
      <c r="B45" s="479" t="s">
        <v>292</v>
      </c>
      <c r="C45" s="480">
        <f t="shared" si="1"/>
        <v>0</v>
      </c>
      <c r="D45" s="477">
        <f>D46+D47</f>
        <v>0</v>
      </c>
      <c r="E45" s="477"/>
      <c r="F45" s="477"/>
      <c r="G45" s="477"/>
      <c r="H45" s="477">
        <f>H46+H47</f>
        <v>0</v>
      </c>
      <c r="I45" s="477"/>
      <c r="J45" s="477"/>
      <c r="K45" s="477"/>
      <c r="L45" s="477">
        <f>L46+L47</f>
        <v>0</v>
      </c>
      <c r="M45" s="477">
        <f>M46+M47</f>
        <v>0</v>
      </c>
    </row>
    <row r="46" spans="1:13" ht="18.75">
      <c r="A46" s="482" t="s">
        <v>420</v>
      </c>
      <c r="B46" s="479" t="s">
        <v>421</v>
      </c>
      <c r="C46" s="480">
        <f t="shared" si="1"/>
        <v>0</v>
      </c>
      <c r="D46" s="477"/>
      <c r="E46" s="477"/>
      <c r="F46" s="477"/>
      <c r="G46" s="477"/>
      <c r="H46" s="477"/>
      <c r="I46" s="477"/>
      <c r="J46" s="477"/>
      <c r="K46" s="477"/>
      <c r="L46" s="477"/>
      <c r="M46" s="477"/>
    </row>
    <row r="47" spans="1:13" ht="18.75">
      <c r="A47" s="492" t="s">
        <v>374</v>
      </c>
      <c r="B47" s="476" t="s">
        <v>418</v>
      </c>
      <c r="C47" s="480">
        <f t="shared" si="1"/>
        <v>0</v>
      </c>
      <c r="D47" s="477"/>
      <c r="E47" s="477"/>
      <c r="F47" s="477"/>
      <c r="G47" s="477"/>
      <c r="H47" s="477"/>
      <c r="I47" s="477"/>
      <c r="J47" s="477"/>
      <c r="K47" s="477"/>
      <c r="L47" s="477"/>
      <c r="M47" s="477"/>
    </row>
    <row r="48" spans="1:13" ht="18.75">
      <c r="A48" s="492"/>
      <c r="B48" s="476"/>
      <c r="C48" s="480">
        <f t="shared" si="1"/>
        <v>0</v>
      </c>
      <c r="D48" s="477"/>
      <c r="E48" s="477"/>
      <c r="F48" s="477"/>
      <c r="G48" s="477"/>
      <c r="H48" s="477"/>
      <c r="I48" s="477"/>
      <c r="J48" s="477"/>
      <c r="K48" s="477"/>
      <c r="L48" s="477"/>
      <c r="M48" s="477"/>
    </row>
    <row r="49" spans="1:13" ht="18.75">
      <c r="A49" s="458"/>
      <c r="B49" s="458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</row>
    <row r="50" spans="1:13" ht="18.75">
      <c r="A50" s="458"/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</row>
    <row r="51" spans="1:13" ht="18.75">
      <c r="A51" s="493" t="s">
        <v>285</v>
      </c>
      <c r="B51" s="479" t="s">
        <v>489</v>
      </c>
      <c r="C51" s="513">
        <f>C52</f>
        <v>50</v>
      </c>
      <c r="D51" s="494">
        <f>D52</f>
        <v>10</v>
      </c>
      <c r="E51" s="494">
        <f aca="true" t="shared" si="4" ref="E51:M51">E52</f>
        <v>0</v>
      </c>
      <c r="F51" s="494">
        <f t="shared" si="4"/>
        <v>0</v>
      </c>
      <c r="G51" s="494">
        <f t="shared" si="4"/>
        <v>0</v>
      </c>
      <c r="H51" s="494">
        <f t="shared" si="4"/>
        <v>5</v>
      </c>
      <c r="I51" s="494">
        <f t="shared" si="4"/>
        <v>0</v>
      </c>
      <c r="J51" s="494">
        <f t="shared" si="4"/>
        <v>0</v>
      </c>
      <c r="K51" s="494">
        <f t="shared" si="4"/>
        <v>0</v>
      </c>
      <c r="L51" s="494">
        <f t="shared" si="4"/>
        <v>10</v>
      </c>
      <c r="M51" s="494">
        <f t="shared" si="4"/>
        <v>10</v>
      </c>
    </row>
    <row r="52" spans="1:13" ht="150">
      <c r="A52" s="490" t="s">
        <v>487</v>
      </c>
      <c r="B52" s="476" t="s">
        <v>488</v>
      </c>
      <c r="C52" s="480">
        <v>50</v>
      </c>
      <c r="D52" s="477">
        <v>10</v>
      </c>
      <c r="E52" s="477"/>
      <c r="F52" s="477"/>
      <c r="G52" s="477"/>
      <c r="H52" s="477">
        <v>5</v>
      </c>
      <c r="I52" s="477"/>
      <c r="J52" s="477"/>
      <c r="K52" s="477"/>
      <c r="L52" s="477">
        <v>10</v>
      </c>
      <c r="M52" s="477">
        <v>10</v>
      </c>
    </row>
    <row r="53" spans="1:13" ht="37.5">
      <c r="A53" s="503" t="s">
        <v>525</v>
      </c>
      <c r="B53" s="519"/>
      <c r="C53" s="480"/>
      <c r="D53" s="480"/>
      <c r="E53" s="480"/>
      <c r="F53" s="480"/>
      <c r="G53" s="480"/>
      <c r="H53" s="480"/>
      <c r="I53" s="480"/>
      <c r="J53" s="480"/>
      <c r="K53" s="480"/>
      <c r="L53" s="480"/>
      <c r="M53" s="480"/>
    </row>
    <row r="54" spans="1:13" ht="75">
      <c r="A54" s="487" t="s">
        <v>314</v>
      </c>
      <c r="B54" s="479" t="s">
        <v>315</v>
      </c>
      <c r="C54" s="480">
        <f>SUM(D54:M54)</f>
        <v>0</v>
      </c>
      <c r="D54" s="491"/>
      <c r="E54" s="491"/>
      <c r="F54" s="491"/>
      <c r="G54" s="491"/>
      <c r="H54" s="491"/>
      <c r="I54" s="491"/>
      <c r="J54" s="491"/>
      <c r="K54" s="491"/>
      <c r="L54" s="491"/>
      <c r="M54" s="491"/>
    </row>
    <row r="55" spans="1:13" ht="58.5">
      <c r="A55" s="495" t="s">
        <v>293</v>
      </c>
      <c r="B55" s="476" t="s">
        <v>610</v>
      </c>
      <c r="C55" s="480">
        <f t="shared" si="1"/>
        <v>500</v>
      </c>
      <c r="D55" s="477">
        <f>D56+D57</f>
        <v>124</v>
      </c>
      <c r="E55" s="477"/>
      <c r="F55" s="477"/>
      <c r="G55" s="477"/>
      <c r="H55" s="477">
        <f>H56+H57</f>
        <v>124</v>
      </c>
      <c r="I55" s="477"/>
      <c r="J55" s="477"/>
      <c r="K55" s="477"/>
      <c r="L55" s="477">
        <f>L56+L57</f>
        <v>126</v>
      </c>
      <c r="M55" s="477">
        <f>M56+M57</f>
        <v>126</v>
      </c>
    </row>
    <row r="56" spans="1:13" ht="18.75">
      <c r="A56" s="496"/>
      <c r="B56" s="497"/>
      <c r="C56" s="498">
        <f t="shared" si="1"/>
        <v>0</v>
      </c>
      <c r="D56" s="499"/>
      <c r="E56" s="499"/>
      <c r="F56" s="499"/>
      <c r="G56" s="499"/>
      <c r="H56" s="499"/>
      <c r="I56" s="499"/>
      <c r="J56" s="499"/>
      <c r="K56" s="499"/>
      <c r="L56" s="499"/>
      <c r="M56" s="499"/>
    </row>
    <row r="57" spans="1:13" ht="206.25">
      <c r="A57" s="490" t="s">
        <v>612</v>
      </c>
      <c r="B57" s="501" t="s">
        <v>611</v>
      </c>
      <c r="C57" s="498">
        <f t="shared" si="1"/>
        <v>500</v>
      </c>
      <c r="D57" s="499">
        <f>D59+D63+D67</f>
        <v>124</v>
      </c>
      <c r="E57" s="499"/>
      <c r="F57" s="499"/>
      <c r="G57" s="499"/>
      <c r="H57" s="499">
        <f>H59+H63+H67</f>
        <v>124</v>
      </c>
      <c r="I57" s="499"/>
      <c r="J57" s="499"/>
      <c r="K57" s="499"/>
      <c r="L57" s="499">
        <f>L59+L63+L67</f>
        <v>126</v>
      </c>
      <c r="M57" s="499">
        <f>M59+M63+M67</f>
        <v>126</v>
      </c>
    </row>
    <row r="58" spans="1:13" ht="18.75">
      <c r="A58" s="490"/>
      <c r="B58" s="502">
        <v>0</v>
      </c>
      <c r="C58" s="498">
        <f t="shared" si="1"/>
        <v>0</v>
      </c>
      <c r="D58" s="499"/>
      <c r="E58" s="499"/>
      <c r="F58" s="499"/>
      <c r="G58" s="499"/>
      <c r="H58" s="499"/>
      <c r="I58" s="499"/>
      <c r="J58" s="499"/>
      <c r="K58" s="499"/>
      <c r="L58" s="499"/>
      <c r="M58" s="499"/>
    </row>
    <row r="59" spans="1:13" ht="150">
      <c r="A59" s="490" t="s">
        <v>522</v>
      </c>
      <c r="B59" s="501" t="s">
        <v>617</v>
      </c>
      <c r="C59" s="498">
        <f>C60</f>
        <v>210</v>
      </c>
      <c r="D59" s="499">
        <f>D60+D61</f>
        <v>46</v>
      </c>
      <c r="E59" s="499"/>
      <c r="F59" s="499"/>
      <c r="G59" s="499"/>
      <c r="H59" s="499">
        <f>H60+H61</f>
        <v>46</v>
      </c>
      <c r="I59" s="499"/>
      <c r="J59" s="499"/>
      <c r="K59" s="499"/>
      <c r="L59" s="499">
        <f>L60+L61</f>
        <v>46</v>
      </c>
      <c r="M59" s="499">
        <f>M60+M61</f>
        <v>46</v>
      </c>
    </row>
    <row r="60" spans="1:13" ht="187.5">
      <c r="A60" s="490" t="s">
        <v>523</v>
      </c>
      <c r="B60" s="444" t="s">
        <v>618</v>
      </c>
      <c r="C60" s="498">
        <v>210</v>
      </c>
      <c r="D60" s="499">
        <v>46</v>
      </c>
      <c r="E60" s="499"/>
      <c r="F60" s="499"/>
      <c r="G60" s="499"/>
      <c r="H60" s="499">
        <v>46</v>
      </c>
      <c r="I60" s="499"/>
      <c r="J60" s="499"/>
      <c r="K60" s="499"/>
      <c r="L60" s="499">
        <v>46</v>
      </c>
      <c r="M60" s="499">
        <v>46</v>
      </c>
    </row>
    <row r="61" spans="1:13" ht="243.75">
      <c r="A61" s="490" t="s">
        <v>524</v>
      </c>
      <c r="B61" s="501" t="s">
        <v>619</v>
      </c>
      <c r="C61" s="498"/>
      <c r="D61" s="498"/>
      <c r="E61" s="498"/>
      <c r="F61" s="498"/>
      <c r="G61" s="498"/>
      <c r="H61" s="498"/>
      <c r="I61" s="498"/>
      <c r="J61" s="498"/>
      <c r="K61" s="498"/>
      <c r="L61" s="498"/>
      <c r="M61" s="498"/>
    </row>
    <row r="62" spans="1:13" ht="225">
      <c r="A62" s="490" t="s">
        <v>620</v>
      </c>
      <c r="B62" s="501" t="s">
        <v>387</v>
      </c>
      <c r="C62" s="498"/>
      <c r="D62" s="498"/>
      <c r="E62" s="498"/>
      <c r="F62" s="498"/>
      <c r="G62" s="498"/>
      <c r="H62" s="498"/>
      <c r="I62" s="498"/>
      <c r="J62" s="498"/>
      <c r="K62" s="498"/>
      <c r="L62" s="498"/>
      <c r="M62" s="498"/>
    </row>
    <row r="63" spans="1:13" ht="56.25">
      <c r="A63" s="490" t="s">
        <v>322</v>
      </c>
      <c r="B63" s="501" t="s">
        <v>323</v>
      </c>
      <c r="C63" s="498">
        <f t="shared" si="1"/>
        <v>0</v>
      </c>
      <c r="D63" s="498">
        <f>D64</f>
        <v>0</v>
      </c>
      <c r="E63" s="498"/>
      <c r="F63" s="498"/>
      <c r="G63" s="498"/>
      <c r="H63" s="498">
        <f>H64</f>
        <v>0</v>
      </c>
      <c r="I63" s="498"/>
      <c r="J63" s="498"/>
      <c r="K63" s="498"/>
      <c r="L63" s="498">
        <f>L64</f>
        <v>0</v>
      </c>
      <c r="M63" s="498">
        <f>M64</f>
        <v>0</v>
      </c>
    </row>
    <row r="64" spans="1:13" ht="56.25">
      <c r="A64" s="490" t="s">
        <v>324</v>
      </c>
      <c r="B64" s="501" t="s">
        <v>320</v>
      </c>
      <c r="C64" s="498">
        <f t="shared" si="1"/>
        <v>0</v>
      </c>
      <c r="D64" s="498">
        <f>D65+D66</f>
        <v>0</v>
      </c>
      <c r="E64" s="498"/>
      <c r="F64" s="498"/>
      <c r="G64" s="498"/>
      <c r="H64" s="498">
        <f>H65+H66</f>
        <v>0</v>
      </c>
      <c r="I64" s="498"/>
      <c r="J64" s="498"/>
      <c r="K64" s="498"/>
      <c r="L64" s="498">
        <f>L65+L66</f>
        <v>0</v>
      </c>
      <c r="M64" s="498">
        <f>M65+M66</f>
        <v>0</v>
      </c>
    </row>
    <row r="65" spans="1:13" ht="56.25">
      <c r="A65" s="503" t="s">
        <v>325</v>
      </c>
      <c r="B65" s="501" t="s">
        <v>386</v>
      </c>
      <c r="C65" s="498">
        <f t="shared" si="1"/>
        <v>0</v>
      </c>
      <c r="D65" s="499"/>
      <c r="E65" s="499"/>
      <c r="F65" s="499"/>
      <c r="G65" s="499"/>
      <c r="H65" s="499"/>
      <c r="I65" s="499"/>
      <c r="J65" s="499"/>
      <c r="K65" s="499"/>
      <c r="L65" s="499"/>
      <c r="M65" s="499"/>
    </row>
    <row r="66" spans="1:13" ht="56.25">
      <c r="A66" s="503" t="s">
        <v>326</v>
      </c>
      <c r="B66" s="501" t="s">
        <v>387</v>
      </c>
      <c r="C66" s="498">
        <f t="shared" si="1"/>
        <v>0</v>
      </c>
      <c r="D66" s="498"/>
      <c r="E66" s="498"/>
      <c r="F66" s="498"/>
      <c r="G66" s="498"/>
      <c r="H66" s="498"/>
      <c r="I66" s="498"/>
      <c r="J66" s="498"/>
      <c r="K66" s="498"/>
      <c r="L66" s="498"/>
      <c r="M66" s="498"/>
    </row>
    <row r="67" spans="1:13" ht="187.5">
      <c r="A67" s="490" t="s">
        <v>621</v>
      </c>
      <c r="B67" s="501" t="s">
        <v>718</v>
      </c>
      <c r="C67" s="498">
        <f>C68</f>
        <v>290</v>
      </c>
      <c r="D67" s="499">
        <v>78</v>
      </c>
      <c r="E67" s="499"/>
      <c r="F67" s="499"/>
      <c r="G67" s="499"/>
      <c r="H67" s="499">
        <v>78</v>
      </c>
      <c r="I67" s="499"/>
      <c r="J67" s="499"/>
      <c r="K67" s="499"/>
      <c r="L67" s="499">
        <v>80</v>
      </c>
      <c r="M67" s="499">
        <v>80</v>
      </c>
    </row>
    <row r="68" spans="1:13" ht="131.25">
      <c r="A68" s="490" t="s">
        <v>622</v>
      </c>
      <c r="B68" s="501" t="s">
        <v>389</v>
      </c>
      <c r="C68" s="498">
        <v>290</v>
      </c>
      <c r="D68" s="499">
        <v>91</v>
      </c>
      <c r="E68" s="499"/>
      <c r="F68" s="499"/>
      <c r="G68" s="499"/>
      <c r="H68" s="499">
        <v>91</v>
      </c>
      <c r="I68" s="499"/>
      <c r="J68" s="499"/>
      <c r="K68" s="499"/>
      <c r="L68" s="499">
        <v>91</v>
      </c>
      <c r="M68" s="499">
        <v>92</v>
      </c>
    </row>
    <row r="69" spans="1:13" ht="56.25">
      <c r="A69" s="490" t="s">
        <v>327</v>
      </c>
      <c r="B69" s="501" t="s">
        <v>388</v>
      </c>
      <c r="C69" s="498">
        <f t="shared" si="1"/>
        <v>0</v>
      </c>
      <c r="D69" s="499"/>
      <c r="E69" s="499"/>
      <c r="F69" s="499"/>
      <c r="G69" s="499"/>
      <c r="H69" s="499"/>
      <c r="I69" s="499"/>
      <c r="J69" s="499"/>
      <c r="K69" s="499"/>
      <c r="L69" s="499"/>
      <c r="M69" s="499"/>
    </row>
    <row r="70" spans="1:13" ht="56.25">
      <c r="A70" s="457" t="s">
        <v>623</v>
      </c>
      <c r="B70" s="476" t="s">
        <v>428</v>
      </c>
      <c r="C70" s="480">
        <f>C71+C72</f>
        <v>100</v>
      </c>
      <c r="D70" s="477">
        <f>D71+D72</f>
        <v>10</v>
      </c>
      <c r="E70" s="477"/>
      <c r="F70" s="477"/>
      <c r="G70" s="477"/>
      <c r="H70" s="477">
        <f>H71+H72</f>
        <v>10</v>
      </c>
      <c r="I70" s="477"/>
      <c r="J70" s="477"/>
      <c r="K70" s="477"/>
      <c r="L70" s="477">
        <f>L71+L72</f>
        <v>15</v>
      </c>
      <c r="M70" s="477">
        <f>M71+M72</f>
        <v>15</v>
      </c>
    </row>
    <row r="71" spans="1:13" ht="93.75">
      <c r="A71" s="490" t="s">
        <v>624</v>
      </c>
      <c r="B71" s="476" t="s">
        <v>338</v>
      </c>
      <c r="C71" s="480">
        <v>50</v>
      </c>
      <c r="D71" s="477">
        <v>5</v>
      </c>
      <c r="E71" s="477"/>
      <c r="F71" s="477"/>
      <c r="G71" s="477"/>
      <c r="H71" s="477">
        <v>5</v>
      </c>
      <c r="I71" s="477"/>
      <c r="J71" s="477"/>
      <c r="K71" s="477"/>
      <c r="L71" s="477">
        <v>10</v>
      </c>
      <c r="M71" s="477">
        <v>10</v>
      </c>
    </row>
    <row r="72" spans="1:13" ht="75">
      <c r="A72" s="490" t="s">
        <v>337</v>
      </c>
      <c r="B72" s="476" t="s">
        <v>339</v>
      </c>
      <c r="C72" s="480">
        <v>50</v>
      </c>
      <c r="D72" s="499">
        <v>5</v>
      </c>
      <c r="E72" s="499"/>
      <c r="F72" s="499"/>
      <c r="G72" s="499"/>
      <c r="H72" s="499">
        <v>5</v>
      </c>
      <c r="I72" s="499"/>
      <c r="J72" s="499"/>
      <c r="K72" s="499"/>
      <c r="L72" s="499">
        <v>5</v>
      </c>
      <c r="M72" s="499">
        <v>5</v>
      </c>
    </row>
    <row r="73" spans="1:13" ht="37.5">
      <c r="A73" s="503" t="s">
        <v>625</v>
      </c>
      <c r="B73" s="501" t="s">
        <v>626</v>
      </c>
      <c r="C73" s="480">
        <f aca="true" t="shared" si="5" ref="C73:C93">SUM(D73:M73)</f>
        <v>0</v>
      </c>
      <c r="D73" s="499"/>
      <c r="E73" s="499"/>
      <c r="F73" s="499"/>
      <c r="G73" s="499"/>
      <c r="H73" s="499"/>
      <c r="I73" s="499"/>
      <c r="J73" s="499"/>
      <c r="K73" s="499"/>
      <c r="L73" s="499"/>
      <c r="M73" s="499"/>
    </row>
    <row r="74" spans="1:13" ht="18.75">
      <c r="A74" s="468"/>
      <c r="B74" s="479"/>
      <c r="C74" s="480">
        <f t="shared" si="5"/>
        <v>0</v>
      </c>
      <c r="D74" s="477"/>
      <c r="E74" s="477"/>
      <c r="F74" s="477"/>
      <c r="G74" s="477"/>
      <c r="H74" s="477"/>
      <c r="I74" s="477"/>
      <c r="J74" s="477"/>
      <c r="K74" s="477"/>
      <c r="L74" s="477"/>
      <c r="M74" s="477"/>
    </row>
    <row r="75" spans="1:13" ht="19.5">
      <c r="A75" s="486" t="s">
        <v>294</v>
      </c>
      <c r="B75" s="479" t="s">
        <v>295</v>
      </c>
      <c r="C75" s="480">
        <f t="shared" si="5"/>
        <v>0</v>
      </c>
      <c r="D75" s="477">
        <f>D76+D77</f>
        <v>0</v>
      </c>
      <c r="E75" s="477"/>
      <c r="F75" s="477"/>
      <c r="G75" s="477"/>
      <c r="H75" s="477">
        <f>H76+H77</f>
        <v>0</v>
      </c>
      <c r="I75" s="477"/>
      <c r="J75" s="477"/>
      <c r="K75" s="477"/>
      <c r="L75" s="477">
        <f>L76+L77</f>
        <v>0</v>
      </c>
      <c r="M75" s="477">
        <f>M76+M77</f>
        <v>0</v>
      </c>
    </row>
    <row r="76" spans="1:13" ht="18.75">
      <c r="A76" s="468" t="s">
        <v>296</v>
      </c>
      <c r="B76" s="479" t="s">
        <v>390</v>
      </c>
      <c r="C76" s="480">
        <f t="shared" si="5"/>
        <v>0</v>
      </c>
      <c r="D76" s="477"/>
      <c r="E76" s="477"/>
      <c r="F76" s="477"/>
      <c r="G76" s="477"/>
      <c r="H76" s="477"/>
      <c r="I76" s="477"/>
      <c r="J76" s="477"/>
      <c r="K76" s="477"/>
      <c r="L76" s="477"/>
      <c r="M76" s="477"/>
    </row>
    <row r="77" spans="1:13" ht="18.75">
      <c r="A77" s="468"/>
      <c r="B77" s="479"/>
      <c r="C77" s="480">
        <f t="shared" si="5"/>
        <v>0</v>
      </c>
      <c r="D77" s="477"/>
      <c r="E77" s="477"/>
      <c r="F77" s="477"/>
      <c r="G77" s="477"/>
      <c r="H77" s="477"/>
      <c r="I77" s="477"/>
      <c r="J77" s="477"/>
      <c r="K77" s="477"/>
      <c r="L77" s="477"/>
      <c r="M77" s="477"/>
    </row>
    <row r="78" spans="1:13" ht="19.5">
      <c r="A78" s="486" t="s">
        <v>297</v>
      </c>
      <c r="B78" s="479" t="s">
        <v>298</v>
      </c>
      <c r="C78" s="480">
        <f t="shared" si="5"/>
        <v>0</v>
      </c>
      <c r="D78" s="477">
        <f>D79</f>
        <v>0</v>
      </c>
      <c r="E78" s="477"/>
      <c r="F78" s="477"/>
      <c r="G78" s="477"/>
      <c r="H78" s="477">
        <f>H79</f>
        <v>0</v>
      </c>
      <c r="I78" s="477"/>
      <c r="J78" s="477"/>
      <c r="K78" s="477"/>
      <c r="L78" s="477">
        <f>L79</f>
        <v>0</v>
      </c>
      <c r="M78" s="477">
        <f>M79</f>
        <v>0</v>
      </c>
    </row>
    <row r="79" spans="1:13" ht="18.75">
      <c r="A79" s="468" t="s">
        <v>328</v>
      </c>
      <c r="B79" s="479" t="s">
        <v>318</v>
      </c>
      <c r="C79" s="480">
        <f t="shared" si="5"/>
        <v>0</v>
      </c>
      <c r="D79" s="477">
        <f>D80+D81</f>
        <v>0</v>
      </c>
      <c r="E79" s="477"/>
      <c r="F79" s="477"/>
      <c r="G79" s="477"/>
      <c r="H79" s="477">
        <f>H80+H81</f>
        <v>0</v>
      </c>
      <c r="I79" s="477"/>
      <c r="J79" s="477"/>
      <c r="K79" s="477"/>
      <c r="L79" s="477">
        <f>L80+L81</f>
        <v>0</v>
      </c>
      <c r="M79" s="477">
        <f>M80+M81</f>
        <v>0</v>
      </c>
    </row>
    <row r="80" spans="1:13" ht="18.75">
      <c r="A80" s="468" t="s">
        <v>329</v>
      </c>
      <c r="B80" s="479" t="s">
        <v>391</v>
      </c>
      <c r="C80" s="480">
        <f t="shared" si="5"/>
        <v>0</v>
      </c>
      <c r="D80" s="477"/>
      <c r="E80" s="477"/>
      <c r="F80" s="477"/>
      <c r="G80" s="477"/>
      <c r="H80" s="477"/>
      <c r="I80" s="477"/>
      <c r="J80" s="477"/>
      <c r="K80" s="477"/>
      <c r="L80" s="477"/>
      <c r="M80" s="477"/>
    </row>
    <row r="81" spans="1:13" ht="18.75">
      <c r="A81" s="468" t="s">
        <v>330</v>
      </c>
      <c r="B81" s="479" t="s">
        <v>392</v>
      </c>
      <c r="C81" s="480">
        <f t="shared" si="5"/>
        <v>0</v>
      </c>
      <c r="D81" s="477"/>
      <c r="E81" s="477"/>
      <c r="F81" s="477"/>
      <c r="G81" s="477"/>
      <c r="H81" s="477"/>
      <c r="I81" s="477"/>
      <c r="J81" s="477"/>
      <c r="K81" s="477"/>
      <c r="L81" s="477"/>
      <c r="M81" s="477"/>
    </row>
    <row r="82" spans="1:13" ht="18.75">
      <c r="A82" s="468"/>
      <c r="B82" s="468"/>
      <c r="C82" s="480">
        <f t="shared" si="5"/>
        <v>0</v>
      </c>
      <c r="D82" s="492"/>
      <c r="E82" s="492"/>
      <c r="F82" s="492"/>
      <c r="G82" s="492"/>
      <c r="H82" s="492"/>
      <c r="I82" s="492"/>
      <c r="J82" s="492"/>
      <c r="K82" s="492"/>
      <c r="L82" s="492"/>
      <c r="M82" s="492"/>
    </row>
    <row r="83" spans="1:13" ht="19.5">
      <c r="A83" s="486" t="s">
        <v>299</v>
      </c>
      <c r="B83" s="479" t="s">
        <v>300</v>
      </c>
      <c r="C83" s="480">
        <f t="shared" si="5"/>
        <v>0</v>
      </c>
      <c r="D83" s="477">
        <f>D84+D85+D87+D86+D88</f>
        <v>0</v>
      </c>
      <c r="E83" s="477"/>
      <c r="F83" s="477"/>
      <c r="G83" s="477"/>
      <c r="H83" s="477">
        <f>H84+H85+H87+H86+H88</f>
        <v>0</v>
      </c>
      <c r="I83" s="477"/>
      <c r="J83" s="477"/>
      <c r="K83" s="477"/>
      <c r="L83" s="477">
        <f>L84+L85+L87+L86+L88</f>
        <v>0</v>
      </c>
      <c r="M83" s="477">
        <f>M84+M85+M87+M86+M88</f>
        <v>0</v>
      </c>
    </row>
    <row r="84" spans="1:13" ht="18.75">
      <c r="A84" s="468" t="s">
        <v>301</v>
      </c>
      <c r="B84" s="479" t="s">
        <v>393</v>
      </c>
      <c r="C84" s="480">
        <f t="shared" si="5"/>
        <v>0</v>
      </c>
      <c r="D84" s="480"/>
      <c r="E84" s="480"/>
      <c r="F84" s="480"/>
      <c r="G84" s="480"/>
      <c r="H84" s="480"/>
      <c r="I84" s="480"/>
      <c r="J84" s="480"/>
      <c r="K84" s="480"/>
      <c r="L84" s="480"/>
      <c r="M84" s="480"/>
    </row>
    <row r="85" spans="1:13" ht="18.75">
      <c r="A85" s="468" t="s">
        <v>302</v>
      </c>
      <c r="B85" s="479" t="s">
        <v>394</v>
      </c>
      <c r="C85" s="480">
        <f t="shared" si="5"/>
        <v>0</v>
      </c>
      <c r="D85" s="477"/>
      <c r="E85" s="477"/>
      <c r="F85" s="477"/>
      <c r="G85" s="477"/>
      <c r="H85" s="477"/>
      <c r="I85" s="477"/>
      <c r="J85" s="477"/>
      <c r="K85" s="477"/>
      <c r="L85" s="477"/>
      <c r="M85" s="477"/>
    </row>
    <row r="86" spans="1:13" ht="18.75">
      <c r="A86" s="492" t="s">
        <v>397</v>
      </c>
      <c r="B86" s="479" t="s">
        <v>395</v>
      </c>
      <c r="C86" s="480">
        <f t="shared" si="5"/>
        <v>0</v>
      </c>
      <c r="D86" s="477"/>
      <c r="E86" s="477"/>
      <c r="F86" s="477"/>
      <c r="G86" s="477"/>
      <c r="H86" s="477"/>
      <c r="I86" s="477"/>
      <c r="J86" s="477"/>
      <c r="K86" s="477"/>
      <c r="L86" s="477"/>
      <c r="M86" s="477"/>
    </row>
    <row r="87" spans="1:13" ht="18.75">
      <c r="A87" s="492" t="s">
        <v>396</v>
      </c>
      <c r="B87" s="476" t="s">
        <v>400</v>
      </c>
      <c r="C87" s="480">
        <f t="shared" si="5"/>
        <v>0</v>
      </c>
      <c r="D87" s="477"/>
      <c r="E87" s="477"/>
      <c r="F87" s="477"/>
      <c r="G87" s="477"/>
      <c r="H87" s="477"/>
      <c r="I87" s="477"/>
      <c r="J87" s="477"/>
      <c r="K87" s="477"/>
      <c r="L87" s="477"/>
      <c r="M87" s="477"/>
    </row>
    <row r="88" spans="1:13" ht="18.75">
      <c r="A88" s="492" t="s">
        <v>398</v>
      </c>
      <c r="B88" s="479" t="s">
        <v>399</v>
      </c>
      <c r="C88" s="480">
        <f t="shared" si="5"/>
        <v>0</v>
      </c>
      <c r="D88" s="477"/>
      <c r="E88" s="477"/>
      <c r="F88" s="477"/>
      <c r="G88" s="477"/>
      <c r="H88" s="477"/>
      <c r="I88" s="477"/>
      <c r="J88" s="477"/>
      <c r="K88" s="477"/>
      <c r="L88" s="477"/>
      <c r="M88" s="477"/>
    </row>
    <row r="89" spans="1:13" ht="18.75">
      <c r="A89" s="492"/>
      <c r="B89" s="479"/>
      <c r="C89" s="480">
        <f t="shared" si="5"/>
        <v>0</v>
      </c>
      <c r="D89" s="477"/>
      <c r="E89" s="477"/>
      <c r="F89" s="477"/>
      <c r="G89" s="477"/>
      <c r="H89" s="477"/>
      <c r="I89" s="477"/>
      <c r="J89" s="477"/>
      <c r="K89" s="477"/>
      <c r="L89" s="477"/>
      <c r="M89" s="477"/>
    </row>
    <row r="90" spans="1:13" ht="19.5">
      <c r="A90" s="486" t="s">
        <v>303</v>
      </c>
      <c r="B90" s="479" t="s">
        <v>304</v>
      </c>
      <c r="C90" s="480">
        <f t="shared" si="5"/>
        <v>0</v>
      </c>
      <c r="D90" s="480">
        <f>D91</f>
        <v>0</v>
      </c>
      <c r="E90" s="480"/>
      <c r="F90" s="480"/>
      <c r="G90" s="480"/>
      <c r="H90" s="480">
        <f>H91</f>
        <v>0</v>
      </c>
      <c r="I90" s="480"/>
      <c r="J90" s="480"/>
      <c r="K90" s="480"/>
      <c r="L90" s="480">
        <f>L91</f>
        <v>0</v>
      </c>
      <c r="M90" s="480">
        <f>M91</f>
        <v>0</v>
      </c>
    </row>
    <row r="91" spans="1:13" ht="18.75">
      <c r="A91" s="492" t="s">
        <v>319</v>
      </c>
      <c r="B91" s="476" t="s">
        <v>419</v>
      </c>
      <c r="C91" s="480">
        <f t="shared" si="5"/>
        <v>0</v>
      </c>
      <c r="D91" s="477"/>
      <c r="E91" s="477"/>
      <c r="F91" s="477"/>
      <c r="G91" s="477"/>
      <c r="H91" s="477"/>
      <c r="I91" s="477"/>
      <c r="J91" s="477"/>
      <c r="K91" s="477"/>
      <c r="L91" s="477"/>
      <c r="M91" s="477"/>
    </row>
    <row r="92" spans="1:13" ht="18.75">
      <c r="A92" s="468"/>
      <c r="B92" s="468"/>
      <c r="C92" s="480">
        <f t="shared" si="5"/>
        <v>0</v>
      </c>
      <c r="D92" s="492"/>
      <c r="E92" s="492"/>
      <c r="F92" s="492"/>
      <c r="G92" s="492"/>
      <c r="H92" s="492"/>
      <c r="I92" s="492"/>
      <c r="J92" s="492"/>
      <c r="K92" s="492"/>
      <c r="L92" s="492"/>
      <c r="M92" s="492"/>
    </row>
    <row r="93" spans="1:13" ht="18.75">
      <c r="A93" s="487"/>
      <c r="B93" s="479"/>
      <c r="C93" s="480">
        <f t="shared" si="5"/>
        <v>0</v>
      </c>
      <c r="D93" s="477"/>
      <c r="E93" s="477"/>
      <c r="F93" s="477"/>
      <c r="G93" s="477"/>
      <c r="H93" s="477"/>
      <c r="I93" s="477"/>
      <c r="J93" s="477"/>
      <c r="K93" s="477"/>
      <c r="L93" s="477"/>
      <c r="M93" s="477"/>
    </row>
    <row r="94" spans="1:13" ht="18.75">
      <c r="A94" s="490"/>
      <c r="B94" s="519"/>
      <c r="C94" s="498"/>
      <c r="D94" s="480"/>
      <c r="E94" s="480"/>
      <c r="F94" s="480"/>
      <c r="G94" s="480"/>
      <c r="H94" s="480"/>
      <c r="I94" s="480"/>
      <c r="J94" s="480"/>
      <c r="K94" s="480"/>
      <c r="L94" s="480"/>
      <c r="M94" s="480"/>
    </row>
    <row r="95" spans="1:13" ht="18.75">
      <c r="A95" s="507" t="s">
        <v>305</v>
      </c>
      <c r="B95" s="505" t="s">
        <v>717</v>
      </c>
      <c r="C95" s="508">
        <f>SUM(D95:M95)</f>
        <v>19086</v>
      </c>
      <c r="D95" s="506">
        <f>D96</f>
        <v>1160</v>
      </c>
      <c r="E95" s="506"/>
      <c r="F95" s="506"/>
      <c r="G95" s="506"/>
      <c r="H95" s="506">
        <f>H96</f>
        <v>1160</v>
      </c>
      <c r="I95" s="506"/>
      <c r="J95" s="506"/>
      <c r="K95" s="506"/>
      <c r="L95" s="506">
        <f>L96</f>
        <v>15606.5</v>
      </c>
      <c r="M95" s="521">
        <f>M96</f>
        <v>1159.5</v>
      </c>
    </row>
    <row r="96" spans="1:13" ht="56.25">
      <c r="A96" s="487" t="s">
        <v>230</v>
      </c>
      <c r="B96" s="479" t="s">
        <v>710</v>
      </c>
      <c r="C96" s="509">
        <f>SUM(D96:M96)</f>
        <v>19086</v>
      </c>
      <c r="D96" s="477">
        <f>D97+D99+D108</f>
        <v>1160</v>
      </c>
      <c r="E96" s="477">
        <f aca="true" t="shared" si="6" ref="E96:M96">E97+E99+E108</f>
        <v>0</v>
      </c>
      <c r="F96" s="477">
        <f t="shared" si="6"/>
        <v>0</v>
      </c>
      <c r="G96" s="477">
        <f t="shared" si="6"/>
        <v>0</v>
      </c>
      <c r="H96" s="477">
        <f t="shared" si="6"/>
        <v>1160</v>
      </c>
      <c r="I96" s="477">
        <f t="shared" si="6"/>
        <v>0</v>
      </c>
      <c r="J96" s="477">
        <f t="shared" si="6"/>
        <v>0</v>
      </c>
      <c r="K96" s="477">
        <f t="shared" si="6"/>
        <v>0</v>
      </c>
      <c r="L96" s="477">
        <f t="shared" si="6"/>
        <v>15606.5</v>
      </c>
      <c r="M96" s="477">
        <f t="shared" si="6"/>
        <v>1159.5</v>
      </c>
    </row>
    <row r="97" spans="1:13" ht="56.25">
      <c r="A97" s="504" t="s">
        <v>231</v>
      </c>
      <c r="B97" s="478" t="s">
        <v>711</v>
      </c>
      <c r="C97" s="509">
        <f>C98</f>
        <v>4400</v>
      </c>
      <c r="D97" s="480">
        <f>D98</f>
        <v>1100</v>
      </c>
      <c r="E97" s="480">
        <f aca="true" t="shared" si="7" ref="E97:M97">E98</f>
        <v>0</v>
      </c>
      <c r="F97" s="480">
        <f t="shared" si="7"/>
        <v>0</v>
      </c>
      <c r="G97" s="480">
        <f t="shared" si="7"/>
        <v>0</v>
      </c>
      <c r="H97" s="480">
        <f t="shared" si="7"/>
        <v>1100</v>
      </c>
      <c r="I97" s="480">
        <f t="shared" si="7"/>
        <v>0</v>
      </c>
      <c r="J97" s="480">
        <f t="shared" si="7"/>
        <v>0</v>
      </c>
      <c r="K97" s="480">
        <f t="shared" si="7"/>
        <v>0</v>
      </c>
      <c r="L97" s="480">
        <f t="shared" si="7"/>
        <v>1100</v>
      </c>
      <c r="M97" s="514">
        <f t="shared" si="7"/>
        <v>1100</v>
      </c>
    </row>
    <row r="98" spans="1:13" ht="56.25">
      <c r="A98" s="487" t="s">
        <v>232</v>
      </c>
      <c r="B98" s="479" t="s">
        <v>712</v>
      </c>
      <c r="C98" s="499">
        <f>SUM(D98:M98)</f>
        <v>4400</v>
      </c>
      <c r="D98" s="477">
        <v>1100</v>
      </c>
      <c r="E98" s="477"/>
      <c r="F98" s="477"/>
      <c r="G98" s="477"/>
      <c r="H98" s="477">
        <v>1100</v>
      </c>
      <c r="I98" s="477"/>
      <c r="J98" s="477"/>
      <c r="K98" s="477"/>
      <c r="L98" s="477">
        <v>1100</v>
      </c>
      <c r="M98" s="512">
        <v>1100</v>
      </c>
    </row>
    <row r="99" spans="1:13" ht="37.5">
      <c r="A99" s="504" t="s">
        <v>543</v>
      </c>
      <c r="B99" s="478" t="s">
        <v>344</v>
      </c>
      <c r="C99" s="509">
        <f>D99+H99+L99++M99</f>
        <v>14446.5</v>
      </c>
      <c r="D99" s="480">
        <f>D100+D103</f>
        <v>0</v>
      </c>
      <c r="E99" s="480">
        <f aca="true" t="shared" si="8" ref="E99:M99">E100+E103</f>
        <v>0</v>
      </c>
      <c r="F99" s="480">
        <f t="shared" si="8"/>
        <v>0</v>
      </c>
      <c r="G99" s="480">
        <f t="shared" si="8"/>
        <v>0</v>
      </c>
      <c r="H99" s="480">
        <f t="shared" si="8"/>
        <v>0</v>
      </c>
      <c r="I99" s="480">
        <f t="shared" si="8"/>
        <v>0</v>
      </c>
      <c r="J99" s="480">
        <f t="shared" si="8"/>
        <v>0</v>
      </c>
      <c r="K99" s="480">
        <f t="shared" si="8"/>
        <v>0</v>
      </c>
      <c r="L99" s="480">
        <f t="shared" si="8"/>
        <v>14446.5</v>
      </c>
      <c r="M99" s="480">
        <f t="shared" si="8"/>
        <v>0</v>
      </c>
    </row>
    <row r="100" spans="1:13" ht="56.25">
      <c r="A100" s="504" t="s">
        <v>545</v>
      </c>
      <c r="B100" s="478" t="s">
        <v>787</v>
      </c>
      <c r="C100" s="509">
        <f aca="true" t="shared" si="9" ref="C100:C107">D100+H100+L100++M100</f>
        <v>0</v>
      </c>
      <c r="D100" s="480"/>
      <c r="E100" s="480"/>
      <c r="F100" s="480"/>
      <c r="G100" s="480"/>
      <c r="H100" s="480">
        <v>0</v>
      </c>
      <c r="I100" s="480"/>
      <c r="J100" s="480"/>
      <c r="K100" s="480"/>
      <c r="L100" s="480"/>
      <c r="M100" s="480"/>
    </row>
    <row r="101" spans="1:13" ht="112.5">
      <c r="A101" s="504" t="s">
        <v>789</v>
      </c>
      <c r="B101" s="479" t="s">
        <v>786</v>
      </c>
      <c r="C101" s="511"/>
      <c r="D101" s="477"/>
      <c r="E101" s="477"/>
      <c r="F101" s="477"/>
      <c r="G101" s="477"/>
      <c r="H101" s="477"/>
      <c r="I101" s="477"/>
      <c r="J101" s="477"/>
      <c r="K101" s="477"/>
      <c r="L101" s="477"/>
      <c r="M101" s="477"/>
    </row>
    <row r="102" spans="1:13" ht="150">
      <c r="A102" s="487" t="s">
        <v>788</v>
      </c>
      <c r="B102" s="479" t="s">
        <v>544</v>
      </c>
      <c r="C102" s="511"/>
      <c r="D102" s="477"/>
      <c r="E102" s="477"/>
      <c r="F102" s="477"/>
      <c r="G102" s="477"/>
      <c r="H102" s="477"/>
      <c r="I102" s="477"/>
      <c r="J102" s="477"/>
      <c r="K102" s="477"/>
      <c r="L102" s="477"/>
      <c r="M102" s="477"/>
    </row>
    <row r="103" spans="1:13" ht="18.75">
      <c r="A103" s="493" t="s">
        <v>708</v>
      </c>
      <c r="B103" s="478" t="s">
        <v>709</v>
      </c>
      <c r="C103" s="509">
        <f>D103+H103+L103++M103</f>
        <v>14446.5</v>
      </c>
      <c r="D103" s="498">
        <f aca="true" t="shared" si="10" ref="D103:M103">D104</f>
        <v>0</v>
      </c>
      <c r="E103" s="498">
        <f t="shared" si="10"/>
        <v>0</v>
      </c>
      <c r="F103" s="498">
        <f t="shared" si="10"/>
        <v>0</v>
      </c>
      <c r="G103" s="498">
        <f t="shared" si="10"/>
        <v>0</v>
      </c>
      <c r="H103" s="498">
        <f>H104+H105+H106</f>
        <v>0</v>
      </c>
      <c r="I103" s="498">
        <f t="shared" si="10"/>
        <v>0</v>
      </c>
      <c r="J103" s="498">
        <f t="shared" si="10"/>
        <v>0</v>
      </c>
      <c r="K103" s="498">
        <f t="shared" si="10"/>
        <v>0</v>
      </c>
      <c r="L103" s="509">
        <f>SUM(L104:L107)</f>
        <v>14446.5</v>
      </c>
      <c r="M103" s="498">
        <f t="shared" si="10"/>
        <v>0</v>
      </c>
    </row>
    <row r="104" spans="1:13" ht="37.5">
      <c r="A104" s="487" t="s">
        <v>542</v>
      </c>
      <c r="B104" s="479" t="s">
        <v>713</v>
      </c>
      <c r="C104" s="511">
        <f t="shared" si="9"/>
        <v>14446.5</v>
      </c>
      <c r="D104" s="476">
        <v>0</v>
      </c>
      <c r="E104" s="476"/>
      <c r="F104" s="476"/>
      <c r="G104" s="476"/>
      <c r="H104" s="476">
        <v>0</v>
      </c>
      <c r="I104" s="476"/>
      <c r="J104" s="476"/>
      <c r="K104" s="476"/>
      <c r="L104" s="510">
        <v>14446.5</v>
      </c>
      <c r="M104" s="476">
        <v>0</v>
      </c>
    </row>
    <row r="105" spans="1:13" ht="131.25">
      <c r="A105" s="487" t="s">
        <v>526</v>
      </c>
      <c r="B105" s="479" t="s">
        <v>714</v>
      </c>
      <c r="C105" s="511">
        <f>D105+H105+L105++M105</f>
        <v>0</v>
      </c>
      <c r="D105" s="468"/>
      <c r="E105" s="468"/>
      <c r="F105" s="468"/>
      <c r="G105" s="468"/>
      <c r="H105" s="479">
        <v>0</v>
      </c>
      <c r="I105" s="468"/>
      <c r="J105" s="468"/>
      <c r="K105" s="468"/>
      <c r="L105" s="479">
        <v>0</v>
      </c>
      <c r="M105" s="468"/>
    </row>
    <row r="106" spans="1:13" ht="18.75">
      <c r="A106" s="487" t="s">
        <v>527</v>
      </c>
      <c r="B106" s="479" t="s">
        <v>714</v>
      </c>
      <c r="C106" s="511">
        <f t="shared" si="9"/>
        <v>0</v>
      </c>
      <c r="D106" s="468"/>
      <c r="E106" s="468"/>
      <c r="F106" s="468"/>
      <c r="G106" s="468"/>
      <c r="H106" s="479">
        <v>0</v>
      </c>
      <c r="I106" s="468"/>
      <c r="J106" s="468"/>
      <c r="K106" s="468"/>
      <c r="L106" s="479"/>
      <c r="M106" s="468"/>
    </row>
    <row r="107" spans="1:13" ht="37.5">
      <c r="A107" s="487" t="s">
        <v>321</v>
      </c>
      <c r="B107" s="479" t="s">
        <v>714</v>
      </c>
      <c r="C107" s="511">
        <f t="shared" si="9"/>
        <v>0</v>
      </c>
      <c r="D107" s="468"/>
      <c r="E107" s="468"/>
      <c r="F107" s="468"/>
      <c r="G107" s="468"/>
      <c r="H107" s="479"/>
      <c r="I107" s="468"/>
      <c r="J107" s="468"/>
      <c r="K107" s="468"/>
      <c r="L107" s="479">
        <v>0</v>
      </c>
      <c r="M107" s="468"/>
    </row>
    <row r="108" spans="1:13" ht="18.75">
      <c r="A108" s="493" t="s">
        <v>233</v>
      </c>
      <c r="B108" s="478" t="s">
        <v>715</v>
      </c>
      <c r="C108" s="509">
        <f>C109</f>
        <v>239.5</v>
      </c>
      <c r="D108" s="509">
        <f aca="true" t="shared" si="11" ref="D108:M108">D109</f>
        <v>60</v>
      </c>
      <c r="E108" s="509">
        <f t="shared" si="11"/>
        <v>0</v>
      </c>
      <c r="F108" s="509">
        <f t="shared" si="11"/>
        <v>0</v>
      </c>
      <c r="G108" s="509">
        <f t="shared" si="11"/>
        <v>0</v>
      </c>
      <c r="H108" s="509">
        <f t="shared" si="11"/>
        <v>60</v>
      </c>
      <c r="I108" s="509">
        <f t="shared" si="11"/>
        <v>0</v>
      </c>
      <c r="J108" s="509">
        <f t="shared" si="11"/>
        <v>0</v>
      </c>
      <c r="K108" s="509">
        <f t="shared" si="11"/>
        <v>0</v>
      </c>
      <c r="L108" s="509">
        <f t="shared" si="11"/>
        <v>60</v>
      </c>
      <c r="M108" s="509">
        <f t="shared" si="11"/>
        <v>59.5</v>
      </c>
    </row>
    <row r="109" spans="1:13" ht="93.75">
      <c r="A109" s="487" t="s">
        <v>234</v>
      </c>
      <c r="B109" s="479" t="s">
        <v>716</v>
      </c>
      <c r="C109" s="511">
        <f>D109+H109+L109+M109</f>
        <v>239.5</v>
      </c>
      <c r="D109" s="512">
        <v>60</v>
      </c>
      <c r="E109" s="477"/>
      <c r="F109" s="477"/>
      <c r="G109" s="477"/>
      <c r="H109" s="512">
        <v>60</v>
      </c>
      <c r="I109" s="512"/>
      <c r="J109" s="512"/>
      <c r="K109" s="512"/>
      <c r="L109" s="477">
        <v>60</v>
      </c>
      <c r="M109" s="512">
        <v>59.5</v>
      </c>
    </row>
    <row r="110" spans="1:13" ht="18.75">
      <c r="A110" s="458"/>
      <c r="B110" s="458"/>
      <c r="C110" s="458"/>
      <c r="D110" s="477"/>
      <c r="E110" s="477"/>
      <c r="F110" s="477"/>
      <c r="G110" s="477"/>
      <c r="H110" s="477"/>
      <c r="I110" s="477"/>
      <c r="J110" s="477"/>
      <c r="K110" s="477"/>
      <c r="L110" s="477"/>
      <c r="M110" s="477"/>
    </row>
    <row r="111" spans="1:13" ht="18.75">
      <c r="A111" s="493"/>
      <c r="B111" s="478"/>
      <c r="C111" s="513"/>
      <c r="D111" s="476"/>
      <c r="E111" s="476"/>
      <c r="F111" s="476"/>
      <c r="G111" s="476"/>
      <c r="H111" s="476"/>
      <c r="I111" s="476"/>
      <c r="J111" s="476"/>
      <c r="K111" s="476"/>
      <c r="L111" s="476"/>
      <c r="M111" s="476"/>
    </row>
    <row r="112" spans="1:13" ht="18.75">
      <c r="A112" s="458"/>
      <c r="B112" s="458"/>
      <c r="C112" s="458"/>
      <c r="D112" s="458"/>
      <c r="E112" s="458"/>
      <c r="F112" s="458"/>
      <c r="G112" s="458"/>
      <c r="H112" s="458"/>
      <c r="I112" s="458"/>
      <c r="J112" s="458"/>
      <c r="K112" s="458"/>
      <c r="L112" s="458"/>
      <c r="M112" s="458"/>
    </row>
    <row r="113" spans="1:13" ht="18.75">
      <c r="A113" s="468"/>
      <c r="B113" s="479"/>
      <c r="C113" s="498">
        <f>SUM(D113:M113)</f>
        <v>0</v>
      </c>
      <c r="D113" s="476"/>
      <c r="E113" s="476"/>
      <c r="F113" s="476"/>
      <c r="G113" s="476"/>
      <c r="H113" s="476"/>
      <c r="I113" s="476"/>
      <c r="J113" s="476"/>
      <c r="K113" s="476"/>
      <c r="L113" s="476"/>
      <c r="M113" s="476"/>
    </row>
    <row r="114" spans="1:13" ht="18.75">
      <c r="A114" s="468" t="s">
        <v>422</v>
      </c>
      <c r="B114" s="479" t="s">
        <v>306</v>
      </c>
      <c r="C114" s="498">
        <f>SUM(D114:M114)</f>
        <v>0</v>
      </c>
      <c r="D114" s="476"/>
      <c r="E114" s="476"/>
      <c r="F114" s="476"/>
      <c r="G114" s="476"/>
      <c r="H114" s="476"/>
      <c r="I114" s="476"/>
      <c r="J114" s="476"/>
      <c r="K114" s="476"/>
      <c r="L114" s="476"/>
      <c r="M114" s="476"/>
    </row>
    <row r="115" spans="1:13" ht="18.75">
      <c r="A115" s="468"/>
      <c r="B115" s="479"/>
      <c r="C115" s="498"/>
      <c r="D115" s="476"/>
      <c r="E115" s="476"/>
      <c r="F115" s="476"/>
      <c r="G115" s="476"/>
      <c r="H115" s="476"/>
      <c r="I115" s="476"/>
      <c r="J115" s="476"/>
      <c r="K115" s="476"/>
      <c r="L115" s="476"/>
      <c r="M115" s="476"/>
    </row>
    <row r="116" spans="1:13" ht="56.25">
      <c r="A116" s="507" t="s">
        <v>490</v>
      </c>
      <c r="B116" s="505" t="s">
        <v>491</v>
      </c>
      <c r="C116" s="506">
        <f>SUM(D116:M116)</f>
        <v>0</v>
      </c>
      <c r="D116" s="522">
        <f>D117</f>
        <v>0</v>
      </c>
      <c r="E116" s="522">
        <f aca="true" t="shared" si="12" ref="E116:M116">E117</f>
        <v>0</v>
      </c>
      <c r="F116" s="522">
        <f t="shared" si="12"/>
        <v>0</v>
      </c>
      <c r="G116" s="522">
        <f t="shared" si="12"/>
        <v>0</v>
      </c>
      <c r="H116" s="522">
        <f t="shared" si="12"/>
        <v>0</v>
      </c>
      <c r="I116" s="522">
        <f t="shared" si="12"/>
        <v>0</v>
      </c>
      <c r="J116" s="522">
        <f t="shared" si="12"/>
        <v>0</v>
      </c>
      <c r="K116" s="522">
        <f t="shared" si="12"/>
        <v>0</v>
      </c>
      <c r="L116" s="522">
        <f t="shared" si="12"/>
        <v>0</v>
      </c>
      <c r="M116" s="522">
        <f t="shared" si="12"/>
        <v>0</v>
      </c>
    </row>
    <row r="117" spans="1:13" ht="75">
      <c r="A117" s="487" t="s">
        <v>492</v>
      </c>
      <c r="B117" s="479" t="s">
        <v>719</v>
      </c>
      <c r="C117" s="480">
        <f>SUM(D117:M117)</f>
        <v>0</v>
      </c>
      <c r="D117" s="477">
        <v>0</v>
      </c>
      <c r="E117" s="477"/>
      <c r="F117" s="477"/>
      <c r="G117" s="477"/>
      <c r="H117" s="477">
        <v>0</v>
      </c>
      <c r="I117" s="477"/>
      <c r="J117" s="477"/>
      <c r="K117" s="477"/>
      <c r="L117" s="477">
        <v>0</v>
      </c>
      <c r="M117" s="477">
        <v>0</v>
      </c>
    </row>
    <row r="118" spans="1:13" ht="18.75">
      <c r="A118" s="493" t="s">
        <v>307</v>
      </c>
      <c r="B118" s="479"/>
      <c r="C118" s="514">
        <f>C95+C8</f>
        <v>27741</v>
      </c>
      <c r="D118" s="514">
        <f aca="true" t="shared" si="13" ref="D118:M118">D95+D8+D116</f>
        <v>3599</v>
      </c>
      <c r="E118" s="514">
        <f t="shared" si="13"/>
        <v>0</v>
      </c>
      <c r="F118" s="514">
        <f t="shared" si="13"/>
        <v>0</v>
      </c>
      <c r="G118" s="514">
        <f t="shared" si="13"/>
        <v>0</v>
      </c>
      <c r="H118" s="514">
        <f t="shared" si="13"/>
        <v>3594</v>
      </c>
      <c r="I118" s="514">
        <f t="shared" si="13"/>
        <v>0</v>
      </c>
      <c r="J118" s="514">
        <f t="shared" si="13"/>
        <v>0</v>
      </c>
      <c r="K118" s="514">
        <f t="shared" si="13"/>
        <v>0</v>
      </c>
      <c r="L118" s="514">
        <f t="shared" si="13"/>
        <v>17460.5</v>
      </c>
      <c r="M118" s="514">
        <f t="shared" si="13"/>
        <v>2980.5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5"/>
  <sheetViews>
    <sheetView showZeros="0" view="pageBreakPreview" zoomScale="80" zoomScaleSheetLayoutView="80" zoomScalePageLayoutView="0" workbookViewId="0" topLeftCell="A2">
      <selection activeCell="G13" sqref="G13"/>
    </sheetView>
  </sheetViews>
  <sheetFormatPr defaultColWidth="9.00390625" defaultRowHeight="12.75"/>
  <cols>
    <col min="1" max="1" width="30.25390625" style="8" customWidth="1"/>
    <col min="2" max="2" width="7.625" style="9" customWidth="1"/>
    <col min="3" max="3" width="15.75390625" style="10" customWidth="1"/>
    <col min="4" max="4" width="10.75390625" style="10" customWidth="1"/>
    <col min="5" max="5" width="10.875" style="10" customWidth="1"/>
    <col min="6" max="6" width="13.125" style="11" customWidth="1"/>
    <col min="7" max="7" width="11.00390625" style="10" customWidth="1"/>
    <col min="8" max="8" width="15.00390625" style="10" customWidth="1"/>
    <col min="9" max="9" width="12.125" style="10" customWidth="1"/>
    <col min="10" max="10" width="9.625" style="10" hidden="1" customWidth="1"/>
    <col min="11" max="11" width="9.875" style="10" hidden="1" customWidth="1"/>
    <col min="12" max="12" width="13.625" style="10" customWidth="1"/>
    <col min="13" max="13" width="9.625" style="10" bestFit="1" customWidth="1"/>
    <col min="14" max="16384" width="9.125" style="10" customWidth="1"/>
  </cols>
  <sheetData>
    <row r="2" ht="15">
      <c r="H2" s="239" t="s">
        <v>919</v>
      </c>
    </row>
    <row r="3" ht="15">
      <c r="H3" s="4" t="s">
        <v>434</v>
      </c>
    </row>
    <row r="4" ht="15">
      <c r="H4" s="4" t="s">
        <v>1225</v>
      </c>
    </row>
    <row r="5" ht="15">
      <c r="H5" s="548" t="str">
        <f>доходы!B3</f>
        <v>от 5.03.2012 №5</v>
      </c>
    </row>
    <row r="7" spans="1:11" ht="15.75">
      <c r="A7" s="1132" t="s">
        <v>951</v>
      </c>
      <c r="B7" s="1132"/>
      <c r="C7" s="1132"/>
      <c r="D7" s="1132"/>
      <c r="E7" s="1132"/>
      <c r="F7" s="1132"/>
      <c r="G7" s="1132"/>
      <c r="H7" s="1132"/>
      <c r="I7" s="1132"/>
      <c r="J7" s="1132"/>
      <c r="K7" s="1132"/>
    </row>
    <row r="8" spans="1:9" ht="15.75" thickBot="1">
      <c r="A8" s="1139" t="s">
        <v>1240</v>
      </c>
      <c r="B8" s="1140"/>
      <c r="C8" s="1140"/>
      <c r="D8" s="1140"/>
      <c r="E8" s="1140"/>
      <c r="F8" s="1140"/>
      <c r="G8" s="1140"/>
      <c r="H8" s="1140"/>
      <c r="I8" s="1140"/>
    </row>
    <row r="9" ht="15.75" hidden="1" thickBot="1"/>
    <row r="10" spans="1:11" ht="15" customHeight="1">
      <c r="A10" s="1133" t="s">
        <v>627</v>
      </c>
      <c r="B10" s="1135" t="s">
        <v>628</v>
      </c>
      <c r="C10" s="1137" t="s">
        <v>629</v>
      </c>
      <c r="D10" s="1137" t="s">
        <v>630</v>
      </c>
      <c r="E10" s="1137" t="s">
        <v>631</v>
      </c>
      <c r="F10" s="1137" t="s">
        <v>632</v>
      </c>
      <c r="G10" s="1137" t="s">
        <v>953</v>
      </c>
      <c r="H10" s="1137" t="s">
        <v>634</v>
      </c>
      <c r="I10" s="716" t="s">
        <v>635</v>
      </c>
      <c r="J10" s="13"/>
      <c r="K10" s="14"/>
    </row>
    <row r="11" spans="1:11" ht="111.75" customHeight="1" thickBot="1">
      <c r="A11" s="1134"/>
      <c r="B11" s="1136"/>
      <c r="C11" s="1138"/>
      <c r="D11" s="1138"/>
      <c r="E11" s="1138"/>
      <c r="F11" s="1138"/>
      <c r="G11" s="1138"/>
      <c r="H11" s="1138"/>
      <c r="I11" s="717" t="s">
        <v>952</v>
      </c>
      <c r="J11" s="16" t="s">
        <v>636</v>
      </c>
      <c r="K11" s="15" t="s">
        <v>637</v>
      </c>
    </row>
    <row r="12" spans="1:13" ht="15" thickBot="1">
      <c r="A12" s="17" t="s">
        <v>638</v>
      </c>
      <c r="B12" s="18"/>
      <c r="C12" s="890">
        <f>C13+C20+C22+C27+C32+C44+C46+C59+C61+C31</f>
        <v>3673.72</v>
      </c>
      <c r="D12" s="890">
        <f>D13+D20+D22+D27+D32+D44+D46+D59+D61</f>
        <v>0</v>
      </c>
      <c r="E12" s="890">
        <v>0</v>
      </c>
      <c r="F12" s="890">
        <f>C12+D12-E12</f>
        <v>3673.72</v>
      </c>
      <c r="G12" s="610">
        <v>20</v>
      </c>
      <c r="H12" s="890">
        <f>F12+G12</f>
        <v>3693.72</v>
      </c>
      <c r="I12" s="610">
        <f>I13+I24+I29+I33+I36+I38+I45+I51+I54+I62+I21</f>
        <v>140.1</v>
      </c>
      <c r="J12" s="19">
        <f>J13+J24+J29+J33+J36+J38+J45+J51+J54+J62</f>
        <v>0</v>
      </c>
      <c r="K12" s="19">
        <f>K13+K24+K29+K33+K36+K38+K45+K51+K54+K62</f>
        <v>0</v>
      </c>
      <c r="L12" s="1079">
        <v>34581.90858</v>
      </c>
      <c r="M12" s="1080">
        <f>L12-H12</f>
        <v>30888.188580000002</v>
      </c>
    </row>
    <row r="13" spans="1:11" ht="28.5">
      <c r="A13" s="20" t="s">
        <v>648</v>
      </c>
      <c r="B13" s="21" t="str">
        <f>" 0100"</f>
        <v> 0100</v>
      </c>
      <c r="C13" s="611">
        <f>C14+C18+C19</f>
        <v>1827.2</v>
      </c>
      <c r="D13" s="611">
        <f>D14+D18+D19</f>
        <v>0</v>
      </c>
      <c r="E13" s="1077">
        <f>E14+E18+E19</f>
        <v>0</v>
      </c>
      <c r="F13" s="1077">
        <f>C13+D13-E13</f>
        <v>1827.2</v>
      </c>
      <c r="G13" s="611">
        <f>SUM(G14:G20)</f>
        <v>0</v>
      </c>
      <c r="H13" s="1077">
        <f>G13+F13</f>
        <v>1827.2</v>
      </c>
      <c r="I13" s="611">
        <f>SUM(I14:I20)</f>
        <v>0</v>
      </c>
      <c r="J13" s="22">
        <f>SUM(J14:J20)</f>
        <v>0</v>
      </c>
      <c r="K13" s="22">
        <f>SUM(K14:K20)</f>
        <v>0</v>
      </c>
    </row>
    <row r="14" spans="1:11" ht="15">
      <c r="A14" s="23" t="s">
        <v>690</v>
      </c>
      <c r="B14" s="24" t="str">
        <f>" 0102"</f>
        <v> 0102</v>
      </c>
      <c r="C14" s="608">
        <v>428</v>
      </c>
      <c r="D14" s="608"/>
      <c r="E14" s="889"/>
      <c r="F14" s="608">
        <f>C14+D14-E14</f>
        <v>428</v>
      </c>
      <c r="G14" s="608"/>
      <c r="H14" s="608">
        <f>F14+G14</f>
        <v>428</v>
      </c>
      <c r="I14" s="612"/>
      <c r="J14" s="25"/>
      <c r="K14" s="25"/>
    </row>
    <row r="15" spans="1:11" s="26" customFormat="1" ht="45" hidden="1">
      <c r="A15" s="23" t="s">
        <v>649</v>
      </c>
      <c r="B15" s="24" t="str">
        <f>" 0103"</f>
        <v> 0103</v>
      </c>
      <c r="C15" s="608"/>
      <c r="D15" s="608"/>
      <c r="E15" s="889"/>
      <c r="F15" s="608">
        <f aca="true" t="shared" si="0" ref="F15:F63">C15+D15-E15</f>
        <v>0</v>
      </c>
      <c r="G15" s="608"/>
      <c r="H15" s="608">
        <f aca="true" t="shared" si="1" ref="H15:H63">F15+G15</f>
        <v>0</v>
      </c>
      <c r="I15" s="612"/>
      <c r="J15" s="25"/>
      <c r="K15" s="25"/>
    </row>
    <row r="16" spans="1:11" s="28" customFormat="1" ht="75" customHeight="1" hidden="1">
      <c r="A16" s="23" t="s">
        <v>650</v>
      </c>
      <c r="B16" s="27" t="s">
        <v>651</v>
      </c>
      <c r="C16" s="608"/>
      <c r="D16" s="608"/>
      <c r="E16" s="889"/>
      <c r="F16" s="608">
        <f t="shared" si="0"/>
        <v>0</v>
      </c>
      <c r="G16" s="608"/>
      <c r="H16" s="608">
        <f t="shared" si="1"/>
        <v>0</v>
      </c>
      <c r="I16" s="612"/>
      <c r="J16" s="25"/>
      <c r="K16" s="25"/>
    </row>
    <row r="17" spans="1:11" s="29" customFormat="1" ht="30" hidden="1">
      <c r="A17" s="23" t="s">
        <v>652</v>
      </c>
      <c r="B17" s="24" t="str">
        <f>" 0112"</f>
        <v> 0112</v>
      </c>
      <c r="C17" s="608"/>
      <c r="D17" s="608"/>
      <c r="E17" s="889"/>
      <c r="F17" s="608">
        <f t="shared" si="0"/>
        <v>0</v>
      </c>
      <c r="G17" s="608"/>
      <c r="H17" s="608">
        <f t="shared" si="1"/>
        <v>0</v>
      </c>
      <c r="I17" s="612"/>
      <c r="J17" s="25"/>
      <c r="K17" s="25"/>
    </row>
    <row r="18" spans="1:11" s="29" customFormat="1" ht="15.75">
      <c r="A18" s="23" t="s">
        <v>54</v>
      </c>
      <c r="B18" s="27" t="s">
        <v>1156</v>
      </c>
      <c r="C18" s="744"/>
      <c r="D18" s="608"/>
      <c r="E18" s="889">
        <v>0</v>
      </c>
      <c r="F18" s="889">
        <f aca="true" t="shared" si="2" ref="F18:F24">C18+D18-E18</f>
        <v>0</v>
      </c>
      <c r="G18" s="608"/>
      <c r="H18" s="744">
        <f>F18+G18</f>
        <v>0</v>
      </c>
      <c r="I18" s="612"/>
      <c r="J18" s="25"/>
      <c r="K18" s="25"/>
    </row>
    <row r="19" spans="1:11" s="30" customFormat="1" ht="30">
      <c r="A19" s="23" t="s">
        <v>654</v>
      </c>
      <c r="B19" s="27" t="s">
        <v>1157</v>
      </c>
      <c r="C19" s="608">
        <v>1399.2</v>
      </c>
      <c r="D19" s="608"/>
      <c r="E19" s="889">
        <v>0</v>
      </c>
      <c r="F19" s="889">
        <f t="shared" si="2"/>
        <v>1399.2</v>
      </c>
      <c r="G19" s="608"/>
      <c r="H19" s="608">
        <f>C19</f>
        <v>1399.2</v>
      </c>
      <c r="I19" s="613"/>
      <c r="J19" s="25"/>
      <c r="K19" s="25"/>
    </row>
    <row r="20" spans="1:11" s="32" customFormat="1" ht="18.75" customHeight="1">
      <c r="A20" s="33" t="s">
        <v>160</v>
      </c>
      <c r="B20" s="34" t="str">
        <f>" 0200"</f>
        <v> 0200</v>
      </c>
      <c r="C20" s="609">
        <f>SUM(C21)</f>
        <v>140.1</v>
      </c>
      <c r="D20" s="609">
        <f>SUM(D21)</f>
        <v>0</v>
      </c>
      <c r="E20" s="609">
        <f>SUM(E21)</f>
        <v>0</v>
      </c>
      <c r="F20" s="609">
        <f t="shared" si="2"/>
        <v>140.1</v>
      </c>
      <c r="G20" s="609">
        <f>SUM(G21)</f>
        <v>0</v>
      </c>
      <c r="H20" s="609">
        <f>F20+G20</f>
        <v>140.1</v>
      </c>
      <c r="I20" s="614"/>
      <c r="J20" s="31"/>
      <c r="K20" s="25"/>
    </row>
    <row r="21" spans="1:11" s="32" customFormat="1" ht="30.75" customHeight="1">
      <c r="A21" s="23" t="s">
        <v>575</v>
      </c>
      <c r="B21" s="24" t="str">
        <f>" 0203"</f>
        <v> 0203</v>
      </c>
      <c r="C21" s="608">
        <v>140.1</v>
      </c>
      <c r="D21" s="608">
        <v>0</v>
      </c>
      <c r="E21" s="608"/>
      <c r="F21" s="608">
        <f t="shared" si="2"/>
        <v>140.1</v>
      </c>
      <c r="G21" s="608"/>
      <c r="H21" s="608">
        <f>F21+G21</f>
        <v>140.1</v>
      </c>
      <c r="I21" s="725">
        <f>H21</f>
        <v>140.1</v>
      </c>
      <c r="J21" s="36"/>
      <c r="K21" s="37"/>
    </row>
    <row r="22" spans="1:11" s="32" customFormat="1" ht="28.5" customHeight="1">
      <c r="A22" s="33" t="s">
        <v>655</v>
      </c>
      <c r="B22" s="34" t="str">
        <f>" 0300"</f>
        <v> 0300</v>
      </c>
      <c r="C22" s="1078">
        <f>C24+C23</f>
        <v>0</v>
      </c>
      <c r="D22" s="1078">
        <f>D24+D23</f>
        <v>0</v>
      </c>
      <c r="E22" s="1078">
        <f>E24+E23</f>
        <v>0</v>
      </c>
      <c r="F22" s="1078">
        <f t="shared" si="2"/>
        <v>0</v>
      </c>
      <c r="G22" s="1078">
        <f>SUM(G24:G27)</f>
        <v>0</v>
      </c>
      <c r="H22" s="1078">
        <f>F22+G22</f>
        <v>0</v>
      </c>
      <c r="I22" s="609"/>
      <c r="J22" s="31"/>
      <c r="K22" s="25"/>
    </row>
    <row r="23" spans="1:11" s="32" customFormat="1" ht="48.75" customHeight="1">
      <c r="A23" s="23" t="s">
        <v>1192</v>
      </c>
      <c r="B23" s="24" t="str">
        <f>"0309"</f>
        <v>0309</v>
      </c>
      <c r="C23" s="1078">
        <v>0</v>
      </c>
      <c r="D23" s="889">
        <v>0</v>
      </c>
      <c r="E23" s="1078"/>
      <c r="F23" s="889">
        <f>C23+D23-E23</f>
        <v>0</v>
      </c>
      <c r="G23" s="1078"/>
      <c r="H23" s="889">
        <f>F23+G23</f>
        <v>0</v>
      </c>
      <c r="I23" s="609"/>
      <c r="J23" s="31"/>
      <c r="K23" s="25"/>
    </row>
    <row r="24" spans="1:11" s="32" customFormat="1" ht="30">
      <c r="A24" s="23" t="s">
        <v>1158</v>
      </c>
      <c r="B24" s="27" t="s">
        <v>1159</v>
      </c>
      <c r="C24" s="608">
        <v>0</v>
      </c>
      <c r="D24" s="608"/>
      <c r="E24" s="608"/>
      <c r="F24" s="608">
        <f t="shared" si="2"/>
        <v>0</v>
      </c>
      <c r="G24" s="608"/>
      <c r="H24" s="608">
        <f>F24+G24</f>
        <v>0</v>
      </c>
      <c r="I24" s="612"/>
      <c r="J24" s="38">
        <f>SUM(J25:J28)</f>
        <v>0</v>
      </c>
      <c r="K24" s="38">
        <f>SUM(K25:K28)</f>
        <v>0</v>
      </c>
    </row>
    <row r="25" spans="1:11" s="32" customFormat="1" ht="15.75" hidden="1">
      <c r="A25" s="23" t="s">
        <v>656</v>
      </c>
      <c r="B25" s="24" t="str">
        <f>" 0302"</f>
        <v> 0302</v>
      </c>
      <c r="C25" s="608"/>
      <c r="D25" s="608"/>
      <c r="E25" s="608"/>
      <c r="F25" s="608">
        <f t="shared" si="0"/>
        <v>0</v>
      </c>
      <c r="G25" s="608"/>
      <c r="H25" s="608">
        <f t="shared" si="1"/>
        <v>0</v>
      </c>
      <c r="I25" s="613"/>
      <c r="J25" s="25"/>
      <c r="K25" s="25"/>
    </row>
    <row r="26" spans="1:11" s="32" customFormat="1" ht="75" hidden="1">
      <c r="A26" s="23" t="s">
        <v>738</v>
      </c>
      <c r="B26" s="24" t="str">
        <f>"0302"</f>
        <v>0302</v>
      </c>
      <c r="C26" s="608">
        <f>'свод бюджет'!Z34</f>
        <v>99.00056</v>
      </c>
      <c r="D26" s="608"/>
      <c r="E26" s="608"/>
      <c r="F26" s="608">
        <f t="shared" si="0"/>
        <v>99.00056</v>
      </c>
      <c r="G26" s="608"/>
      <c r="H26" s="608">
        <f>F26</f>
        <v>99.00056</v>
      </c>
      <c r="I26" s="613"/>
      <c r="J26" s="25"/>
      <c r="K26" s="25"/>
    </row>
    <row r="27" spans="1:11" s="39" customFormat="1" ht="15.75">
      <c r="A27" s="33" t="s">
        <v>658</v>
      </c>
      <c r="B27" s="34" t="str">
        <f>" 0400"</f>
        <v> 0400</v>
      </c>
      <c r="C27" s="1078">
        <f>SUM(C28:C30)</f>
        <v>601.22</v>
      </c>
      <c r="D27" s="609">
        <f>SUM(D28:D30)</f>
        <v>0</v>
      </c>
      <c r="E27" s="609">
        <f>SUM(E28:E30)</f>
        <v>0</v>
      </c>
      <c r="F27" s="1078">
        <f>C27+D27-E27</f>
        <v>601.22</v>
      </c>
      <c r="G27" s="609">
        <f>SUM(G28:G30)</f>
        <v>0</v>
      </c>
      <c r="H27" s="889">
        <f>F27+G27</f>
        <v>601.22</v>
      </c>
      <c r="I27" s="609">
        <f>SUM(I28:I30)</f>
        <v>0</v>
      </c>
      <c r="J27" s="31"/>
      <c r="K27" s="25"/>
    </row>
    <row r="28" spans="1:11" s="29" customFormat="1" ht="16.5" customHeight="1" hidden="1">
      <c r="A28" s="23" t="s">
        <v>657</v>
      </c>
      <c r="B28" s="24" t="str">
        <f>" 0310"</f>
        <v> 0310</v>
      </c>
      <c r="C28" s="608"/>
      <c r="D28" s="608"/>
      <c r="E28" s="608"/>
      <c r="F28" s="608">
        <f t="shared" si="0"/>
        <v>0</v>
      </c>
      <c r="G28" s="608"/>
      <c r="H28" s="608">
        <f t="shared" si="1"/>
        <v>0</v>
      </c>
      <c r="I28" s="612"/>
      <c r="J28" s="31"/>
      <c r="K28" s="25"/>
    </row>
    <row r="29" spans="1:11" s="40" customFormat="1" ht="18.75" customHeight="1">
      <c r="A29" s="23" t="s">
        <v>1161</v>
      </c>
      <c r="B29" s="24" t="str">
        <f>" 0401"</f>
        <v> 0401</v>
      </c>
      <c r="C29" s="889">
        <v>0</v>
      </c>
      <c r="D29" s="608"/>
      <c r="E29" s="608"/>
      <c r="F29" s="889">
        <f aca="true" t="shared" si="3" ref="F29:F35">C29+D29-E29</f>
        <v>0</v>
      </c>
      <c r="G29" s="608"/>
      <c r="H29" s="889">
        <f aca="true" t="shared" si="4" ref="H29:H34">F29+G29</f>
        <v>0</v>
      </c>
      <c r="I29" s="612"/>
      <c r="J29" s="38">
        <f>SUM(J30:J32)</f>
        <v>0</v>
      </c>
      <c r="K29" s="38">
        <f>SUM(K30:K32)</f>
        <v>0</v>
      </c>
    </row>
    <row r="30" spans="1:11" s="41" customFormat="1" ht="28.5" customHeight="1">
      <c r="A30" s="23" t="s">
        <v>1162</v>
      </c>
      <c r="B30" s="24" t="str">
        <f>" 0409"</f>
        <v> 0409</v>
      </c>
      <c r="C30" s="608">
        <v>601.22</v>
      </c>
      <c r="D30" s="608"/>
      <c r="E30" s="608"/>
      <c r="F30" s="608">
        <f t="shared" si="3"/>
        <v>601.22</v>
      </c>
      <c r="G30" s="608"/>
      <c r="H30" s="608">
        <f t="shared" si="4"/>
        <v>601.22</v>
      </c>
      <c r="I30" s="613"/>
      <c r="J30" s="25"/>
      <c r="K30" s="25"/>
    </row>
    <row r="31" spans="1:11" s="1" customFormat="1" ht="34.5" customHeight="1">
      <c r="A31" s="23" t="s">
        <v>659</v>
      </c>
      <c r="B31" s="24" t="str">
        <f>"0412"</f>
        <v>0412</v>
      </c>
      <c r="C31" s="608">
        <v>150</v>
      </c>
      <c r="D31" s="608"/>
      <c r="E31" s="608"/>
      <c r="F31" s="608">
        <f t="shared" si="3"/>
        <v>150</v>
      </c>
      <c r="G31" s="608"/>
      <c r="H31" s="608">
        <f t="shared" si="4"/>
        <v>150</v>
      </c>
      <c r="I31" s="612"/>
      <c r="J31" s="25"/>
      <c r="K31" s="25"/>
    </row>
    <row r="32" spans="1:11" s="1" customFormat="1" ht="30.75" customHeight="1">
      <c r="A32" s="33" t="s">
        <v>660</v>
      </c>
      <c r="B32" s="34" t="str">
        <f>" 0500"</f>
        <v> 0500</v>
      </c>
      <c r="C32" s="609">
        <f>C33+C34+C35</f>
        <v>155</v>
      </c>
      <c r="D32" s="609">
        <f>SUM(D33:D34)</f>
        <v>0</v>
      </c>
      <c r="E32" s="609">
        <f>SUM(E33:E35)</f>
        <v>0</v>
      </c>
      <c r="F32" s="609">
        <f>C32+D32-E32</f>
        <v>155</v>
      </c>
      <c r="G32" s="609">
        <f>SUM(G33:G34)</f>
        <v>0</v>
      </c>
      <c r="H32" s="609">
        <f t="shared" si="4"/>
        <v>155</v>
      </c>
      <c r="I32" s="609">
        <f>SUM(I33:I34)</f>
        <v>0</v>
      </c>
      <c r="J32" s="25"/>
      <c r="K32" s="25"/>
    </row>
    <row r="33" spans="1:11" s="42" customFormat="1" ht="28.5" customHeight="1" hidden="1">
      <c r="A33" s="23" t="s">
        <v>661</v>
      </c>
      <c r="B33" s="24" t="s">
        <v>662</v>
      </c>
      <c r="C33" s="608">
        <f>'свод бюджет'!Z68</f>
        <v>0</v>
      </c>
      <c r="D33" s="608"/>
      <c r="E33" s="608"/>
      <c r="F33" s="608">
        <f t="shared" si="3"/>
        <v>0</v>
      </c>
      <c r="G33" s="608"/>
      <c r="H33" s="608">
        <f t="shared" si="4"/>
        <v>0</v>
      </c>
      <c r="I33" s="613"/>
      <c r="J33" s="38">
        <f>SUM(J34:J35)</f>
        <v>0</v>
      </c>
      <c r="K33" s="38">
        <f>SUM(K34:K35)</f>
        <v>0</v>
      </c>
    </row>
    <row r="34" spans="1:11" s="1" customFormat="1" ht="20.25" customHeight="1">
      <c r="A34" s="23" t="s">
        <v>663</v>
      </c>
      <c r="B34" s="24" t="str">
        <f>" 0502"</f>
        <v> 0502</v>
      </c>
      <c r="C34" s="608">
        <v>85</v>
      </c>
      <c r="D34" s="744"/>
      <c r="E34" s="608">
        <v>0</v>
      </c>
      <c r="F34" s="608">
        <f t="shared" si="3"/>
        <v>85</v>
      </c>
      <c r="G34" s="608"/>
      <c r="H34" s="744">
        <f t="shared" si="4"/>
        <v>85</v>
      </c>
      <c r="I34" s="613"/>
      <c r="J34" s="25"/>
      <c r="K34" s="25"/>
    </row>
    <row r="35" spans="1:11" s="1" customFormat="1" ht="15.75" customHeight="1">
      <c r="A35" s="23" t="s">
        <v>56</v>
      </c>
      <c r="B35" s="24" t="str">
        <f>"0503"</f>
        <v>0503</v>
      </c>
      <c r="C35" s="608">
        <v>70</v>
      </c>
      <c r="D35" s="608"/>
      <c r="E35" s="608">
        <v>0</v>
      </c>
      <c r="F35" s="608">
        <f t="shared" si="3"/>
        <v>70</v>
      </c>
      <c r="G35" s="608"/>
      <c r="H35" s="608">
        <f>F35</f>
        <v>70</v>
      </c>
      <c r="I35" s="613"/>
      <c r="J35" s="31"/>
      <c r="K35" s="31"/>
    </row>
    <row r="36" spans="1:11" s="43" customFormat="1" ht="21" customHeight="1" hidden="1">
      <c r="A36" s="33" t="s">
        <v>665</v>
      </c>
      <c r="B36" s="34" t="str">
        <f>" 0600"</f>
        <v> 0600</v>
      </c>
      <c r="C36" s="609">
        <f>SUM(C37:C37)</f>
        <v>0</v>
      </c>
      <c r="D36" s="609">
        <f>SUM(D37:D37)</f>
        <v>0</v>
      </c>
      <c r="E36" s="609">
        <f>SUM(E37:E37)</f>
        <v>0</v>
      </c>
      <c r="F36" s="608">
        <f t="shared" si="0"/>
        <v>0</v>
      </c>
      <c r="G36" s="609"/>
      <c r="H36" s="608">
        <f t="shared" si="1"/>
        <v>0</v>
      </c>
      <c r="I36" s="609"/>
      <c r="J36" s="38"/>
      <c r="K36" s="38"/>
    </row>
    <row r="37" spans="1:11" s="1" customFormat="1" ht="30" customHeight="1" hidden="1">
      <c r="A37" s="23" t="s">
        <v>666</v>
      </c>
      <c r="B37" s="24" t="str">
        <f>" 0604"</f>
        <v> 0604</v>
      </c>
      <c r="C37" s="608"/>
      <c r="D37" s="608"/>
      <c r="E37" s="608"/>
      <c r="F37" s="608">
        <f t="shared" si="0"/>
        <v>0</v>
      </c>
      <c r="G37" s="608"/>
      <c r="H37" s="608">
        <f t="shared" si="1"/>
        <v>0</v>
      </c>
      <c r="I37" s="612"/>
      <c r="J37" s="25"/>
      <c r="K37" s="25"/>
    </row>
    <row r="38" spans="1:11" s="1" customFormat="1" ht="15.75" customHeight="1" hidden="1">
      <c r="A38" s="33" t="s">
        <v>667</v>
      </c>
      <c r="B38" s="34" t="str">
        <f>" 0700"</f>
        <v> 0700</v>
      </c>
      <c r="C38" s="609">
        <f aca="true" t="shared" si="5" ref="C38:K38">SUM(C39:C43)</f>
        <v>0</v>
      </c>
      <c r="D38" s="609">
        <f t="shared" si="5"/>
        <v>0</v>
      </c>
      <c r="E38" s="609">
        <f t="shared" si="5"/>
        <v>0</v>
      </c>
      <c r="F38" s="608">
        <f t="shared" si="0"/>
        <v>0</v>
      </c>
      <c r="G38" s="609">
        <f t="shared" si="5"/>
        <v>0</v>
      </c>
      <c r="H38" s="608">
        <f t="shared" si="1"/>
        <v>0</v>
      </c>
      <c r="I38" s="609">
        <f>SUM(I39:I43)</f>
        <v>0</v>
      </c>
      <c r="J38" s="38">
        <f t="shared" si="5"/>
        <v>0</v>
      </c>
      <c r="K38" s="38">
        <f t="shared" si="5"/>
        <v>0</v>
      </c>
    </row>
    <row r="39" spans="1:11" s="1" customFormat="1" ht="15.75" customHeight="1" hidden="1">
      <c r="A39" s="23" t="s">
        <v>668</v>
      </c>
      <c r="B39" s="24" t="s">
        <v>669</v>
      </c>
      <c r="C39" s="608"/>
      <c r="D39" s="608"/>
      <c r="E39" s="608"/>
      <c r="F39" s="608">
        <f t="shared" si="0"/>
        <v>0</v>
      </c>
      <c r="G39" s="608"/>
      <c r="H39" s="608">
        <f t="shared" si="1"/>
        <v>0</v>
      </c>
      <c r="I39" s="613"/>
      <c r="J39" s="31"/>
      <c r="K39" s="31"/>
    </row>
    <row r="40" spans="1:11" s="1" customFormat="1" ht="32.25" customHeight="1" hidden="1">
      <c r="A40" s="23" t="s">
        <v>670</v>
      </c>
      <c r="B40" s="24" t="str">
        <f>" 0702"</f>
        <v> 0702</v>
      </c>
      <c r="C40" s="608"/>
      <c r="D40" s="608"/>
      <c r="E40" s="608"/>
      <c r="F40" s="608">
        <f t="shared" si="0"/>
        <v>0</v>
      </c>
      <c r="G40" s="608"/>
      <c r="H40" s="608">
        <f t="shared" si="1"/>
        <v>0</v>
      </c>
      <c r="I40" s="613"/>
      <c r="J40" s="25"/>
      <c r="K40" s="25"/>
    </row>
    <row r="41" spans="1:11" s="1" customFormat="1" ht="30" customHeight="1" hidden="1">
      <c r="A41" s="44" t="s">
        <v>671</v>
      </c>
      <c r="B41" s="45" t="str">
        <f>" 0705"</f>
        <v> 0705</v>
      </c>
      <c r="C41" s="615"/>
      <c r="D41" s="615"/>
      <c r="E41" s="615"/>
      <c r="F41" s="608">
        <f t="shared" si="0"/>
        <v>0</v>
      </c>
      <c r="G41" s="615"/>
      <c r="H41" s="608">
        <f t="shared" si="1"/>
        <v>0</v>
      </c>
      <c r="I41" s="616"/>
      <c r="J41" s="46"/>
      <c r="K41" s="46"/>
    </row>
    <row r="42" spans="1:11" s="1" customFormat="1" ht="30" hidden="1">
      <c r="A42" s="23" t="s">
        <v>672</v>
      </c>
      <c r="B42" s="24" t="str">
        <f>" 0707"</f>
        <v> 0707</v>
      </c>
      <c r="C42" s="608"/>
      <c r="D42" s="608"/>
      <c r="E42" s="608"/>
      <c r="F42" s="608">
        <f t="shared" si="0"/>
        <v>0</v>
      </c>
      <c r="G42" s="608"/>
      <c r="H42" s="608">
        <f t="shared" si="1"/>
        <v>0</v>
      </c>
      <c r="I42" s="613"/>
      <c r="J42" s="25"/>
      <c r="K42" s="25"/>
    </row>
    <row r="43" spans="1:11" s="1" customFormat="1" ht="30" hidden="1">
      <c r="A43" s="23" t="s">
        <v>673</v>
      </c>
      <c r="B43" s="24" t="str">
        <f>" 0709"</f>
        <v> 0709</v>
      </c>
      <c r="C43" s="608"/>
      <c r="D43" s="608"/>
      <c r="E43" s="608"/>
      <c r="F43" s="608">
        <f t="shared" si="0"/>
        <v>0</v>
      </c>
      <c r="G43" s="608"/>
      <c r="H43" s="608">
        <f t="shared" si="1"/>
        <v>0</v>
      </c>
      <c r="I43" s="613"/>
      <c r="J43" s="25"/>
      <c r="K43" s="25"/>
    </row>
    <row r="44" spans="1:11" s="1" customFormat="1" ht="14.25">
      <c r="A44" s="33" t="s">
        <v>1160</v>
      </c>
      <c r="B44" s="34" t="str">
        <f>" 0800"</f>
        <v> 0800</v>
      </c>
      <c r="C44" s="609">
        <f>C45</f>
        <v>676.6</v>
      </c>
      <c r="D44" s="609">
        <f>D45</f>
        <v>0</v>
      </c>
      <c r="E44" s="609">
        <f>E45</f>
        <v>0</v>
      </c>
      <c r="F44" s="609">
        <f>C44+D44-E44</f>
        <v>676.6</v>
      </c>
      <c r="G44" s="609">
        <f>SUM(G45:G49)</f>
        <v>20</v>
      </c>
      <c r="H44" s="609">
        <f>F44+G44</f>
        <v>696.6</v>
      </c>
      <c r="I44" s="609">
        <f>SUM(I45:I49)</f>
        <v>0</v>
      </c>
      <c r="J44" s="25"/>
      <c r="K44" s="25"/>
    </row>
    <row r="45" spans="1:11" s="42" customFormat="1" ht="28.5" customHeight="1">
      <c r="A45" s="23" t="s">
        <v>674</v>
      </c>
      <c r="B45" s="24" t="str">
        <f>" 0801"</f>
        <v> 0801</v>
      </c>
      <c r="C45" s="608">
        <v>676.6</v>
      </c>
      <c r="D45" s="608"/>
      <c r="E45" s="608"/>
      <c r="F45" s="608">
        <f>C45+D45-E45</f>
        <v>676.6</v>
      </c>
      <c r="G45" s="608">
        <v>20</v>
      </c>
      <c r="H45" s="608">
        <f>F45+G45</f>
        <v>696.6</v>
      </c>
      <c r="I45" s="613"/>
      <c r="J45" s="38">
        <f>SUM(J46:J50)</f>
        <v>0</v>
      </c>
      <c r="K45" s="38">
        <f>SUM(K46:K50)</f>
        <v>0</v>
      </c>
    </row>
    <row r="46" spans="1:11" s="1" customFormat="1" ht="15.75" customHeight="1">
      <c r="A46" s="33" t="s">
        <v>680</v>
      </c>
      <c r="B46" s="34">
        <v>1000</v>
      </c>
      <c r="C46" s="609">
        <f>C51+C53</f>
        <v>123.6</v>
      </c>
      <c r="D46" s="609">
        <f>D51+D53</f>
        <v>0</v>
      </c>
      <c r="E46" s="609">
        <f>E51+E53</f>
        <v>0</v>
      </c>
      <c r="F46" s="609">
        <f>C46+D46-E46</f>
        <v>123.6</v>
      </c>
      <c r="G46" s="609"/>
      <c r="H46" s="609">
        <f>H51+H53</f>
        <v>123.6</v>
      </c>
      <c r="I46" s="613"/>
      <c r="J46" s="31"/>
      <c r="K46" s="25"/>
    </row>
    <row r="47" spans="1:11" s="1" customFormat="1" ht="54" customHeight="1" hidden="1">
      <c r="A47" s="23" t="s">
        <v>675</v>
      </c>
      <c r="B47" s="24" t="str">
        <f>" 0802"</f>
        <v> 0802</v>
      </c>
      <c r="C47" s="608"/>
      <c r="D47" s="608"/>
      <c r="E47" s="608"/>
      <c r="F47" s="608">
        <f t="shared" si="0"/>
        <v>0</v>
      </c>
      <c r="G47" s="608"/>
      <c r="H47" s="608">
        <f t="shared" si="1"/>
        <v>0</v>
      </c>
      <c r="I47" s="613"/>
      <c r="J47" s="25"/>
      <c r="K47" s="25"/>
    </row>
    <row r="48" spans="1:11" s="1" customFormat="1" ht="42" customHeight="1" hidden="1">
      <c r="A48" s="23" t="s">
        <v>676</v>
      </c>
      <c r="B48" s="24" t="str">
        <f>" 0803"</f>
        <v> 0803</v>
      </c>
      <c r="C48" s="608"/>
      <c r="D48" s="608"/>
      <c r="E48" s="608"/>
      <c r="F48" s="608">
        <f t="shared" si="0"/>
        <v>0</v>
      </c>
      <c r="G48" s="608"/>
      <c r="H48" s="608">
        <f t="shared" si="1"/>
        <v>0</v>
      </c>
      <c r="I48" s="613"/>
      <c r="J48" s="31"/>
      <c r="K48" s="25"/>
    </row>
    <row r="49" spans="1:11" s="1" customFormat="1" ht="15" customHeight="1" hidden="1">
      <c r="A49" s="23" t="s">
        <v>677</v>
      </c>
      <c r="B49" s="24" t="str">
        <f>" 0804"</f>
        <v> 0804</v>
      </c>
      <c r="C49" s="608"/>
      <c r="D49" s="608"/>
      <c r="E49" s="608"/>
      <c r="F49" s="608">
        <f t="shared" si="0"/>
        <v>0</v>
      </c>
      <c r="G49" s="608"/>
      <c r="H49" s="608">
        <f t="shared" si="1"/>
        <v>0</v>
      </c>
      <c r="I49" s="613"/>
      <c r="J49" s="25"/>
      <c r="K49" s="25"/>
    </row>
    <row r="50" spans="1:11" s="1" customFormat="1" ht="69" customHeight="1" hidden="1">
      <c r="A50" s="23" t="s">
        <v>678</v>
      </c>
      <c r="B50" s="24" t="str">
        <f>" 0806"</f>
        <v> 0806</v>
      </c>
      <c r="C50" s="608"/>
      <c r="D50" s="608"/>
      <c r="E50" s="608"/>
      <c r="F50" s="608">
        <f t="shared" si="0"/>
        <v>0</v>
      </c>
      <c r="G50" s="608"/>
      <c r="H50" s="608">
        <f t="shared" si="1"/>
        <v>0</v>
      </c>
      <c r="I50" s="613"/>
      <c r="J50" s="25"/>
      <c r="K50" s="25"/>
    </row>
    <row r="51" spans="1:11" s="1" customFormat="1" ht="21.75" customHeight="1">
      <c r="A51" s="23" t="s">
        <v>681</v>
      </c>
      <c r="B51" s="24">
        <v>1001</v>
      </c>
      <c r="C51" s="608">
        <v>123.6</v>
      </c>
      <c r="D51" s="608"/>
      <c r="E51" s="608">
        <v>0</v>
      </c>
      <c r="F51" s="608">
        <f t="shared" si="0"/>
        <v>123.6</v>
      </c>
      <c r="G51" s="608"/>
      <c r="H51" s="608">
        <f>F51</f>
        <v>123.6</v>
      </c>
      <c r="I51" s="613"/>
      <c r="J51" s="38">
        <f>SUM(J52:J53)</f>
        <v>0</v>
      </c>
      <c r="K51" s="38">
        <f>SUM(K52:K53)</f>
        <v>0</v>
      </c>
    </row>
    <row r="52" spans="1:11" s="1" customFormat="1" ht="15" hidden="1">
      <c r="A52" s="23" t="s">
        <v>679</v>
      </c>
      <c r="B52" s="24" t="str">
        <f>" 0901"</f>
        <v> 0901</v>
      </c>
      <c r="C52" s="608"/>
      <c r="D52" s="608"/>
      <c r="E52" s="608"/>
      <c r="F52" s="608">
        <f t="shared" si="0"/>
        <v>0</v>
      </c>
      <c r="G52" s="608"/>
      <c r="H52" s="608">
        <f t="shared" si="1"/>
        <v>0</v>
      </c>
      <c r="I52" s="613"/>
      <c r="J52" s="25"/>
      <c r="K52" s="25"/>
    </row>
    <row r="53" spans="1:11" s="1" customFormat="1" ht="30">
      <c r="A53" s="23" t="s">
        <v>684</v>
      </c>
      <c r="B53" s="24">
        <v>1003</v>
      </c>
      <c r="C53" s="609"/>
      <c r="D53" s="609">
        <f>D54+D55</f>
        <v>0</v>
      </c>
      <c r="E53" s="609">
        <v>0</v>
      </c>
      <c r="F53" s="609">
        <f>F54+F55</f>
        <v>0</v>
      </c>
      <c r="G53" s="609"/>
      <c r="H53" s="609"/>
      <c r="I53" s="614"/>
      <c r="J53" s="25"/>
      <c r="K53" s="25"/>
    </row>
    <row r="54" spans="1:11" s="1" customFormat="1" ht="15" customHeight="1" hidden="1">
      <c r="A54" s="33" t="s">
        <v>680</v>
      </c>
      <c r="B54" s="34" t="str">
        <f>" 1000"</f>
        <v> 1000</v>
      </c>
      <c r="C54" s="609">
        <f>SUM(C55:C58)</f>
        <v>0</v>
      </c>
      <c r="D54" s="609">
        <f>SUM(D55:D58)</f>
        <v>0</v>
      </c>
      <c r="E54" s="609">
        <f>SUM(E55:E58)</f>
        <v>0</v>
      </c>
      <c r="F54" s="608">
        <f t="shared" si="0"/>
        <v>0</v>
      </c>
      <c r="G54" s="609">
        <f>SUM(G55:G57)</f>
        <v>0</v>
      </c>
      <c r="H54" s="609">
        <f t="shared" si="1"/>
        <v>0</v>
      </c>
      <c r="I54" s="609">
        <f>SUM(I55:I57)</f>
        <v>0</v>
      </c>
      <c r="J54" s="38">
        <f>SUM(J55:J57)</f>
        <v>0</v>
      </c>
      <c r="K54" s="38">
        <f>SUM(K55:K57)</f>
        <v>0</v>
      </c>
    </row>
    <row r="55" spans="1:11" s="47" customFormat="1" ht="20.25" customHeight="1" hidden="1">
      <c r="A55" s="23" t="s">
        <v>681</v>
      </c>
      <c r="B55" s="24" t="s">
        <v>682</v>
      </c>
      <c r="C55" s="608"/>
      <c r="D55" s="608"/>
      <c r="E55" s="608"/>
      <c r="F55" s="608">
        <f t="shared" si="0"/>
        <v>0</v>
      </c>
      <c r="G55" s="608"/>
      <c r="H55" s="608">
        <f t="shared" si="1"/>
        <v>0</v>
      </c>
      <c r="I55" s="613"/>
      <c r="J55" s="25"/>
      <c r="K55" s="25"/>
    </row>
    <row r="56" spans="1:11" s="1" customFormat="1" ht="20.25" customHeight="1" hidden="1">
      <c r="A56" s="23" t="s">
        <v>683</v>
      </c>
      <c r="B56" s="24" t="str">
        <f>" 1002"</f>
        <v> 1002</v>
      </c>
      <c r="C56" s="608"/>
      <c r="D56" s="608"/>
      <c r="E56" s="608"/>
      <c r="F56" s="608">
        <f t="shared" si="0"/>
        <v>0</v>
      </c>
      <c r="G56" s="608"/>
      <c r="H56" s="608">
        <f t="shared" si="1"/>
        <v>0</v>
      </c>
      <c r="I56" s="613"/>
      <c r="J56" s="25"/>
      <c r="K56" s="25"/>
    </row>
    <row r="57" spans="1:11" s="47" customFormat="1" ht="17.25" customHeight="1" hidden="1">
      <c r="A57" s="23" t="s">
        <v>684</v>
      </c>
      <c r="B57" s="24" t="str">
        <f>" 1003"</f>
        <v> 1003</v>
      </c>
      <c r="C57" s="608"/>
      <c r="D57" s="608"/>
      <c r="E57" s="608"/>
      <c r="F57" s="608">
        <f t="shared" si="0"/>
        <v>0</v>
      </c>
      <c r="G57" s="608"/>
      <c r="H57" s="608">
        <f t="shared" si="1"/>
        <v>0</v>
      </c>
      <c r="I57" s="613"/>
      <c r="J57" s="25"/>
      <c r="K57" s="25"/>
    </row>
    <row r="58" spans="1:11" s="47" customFormat="1" ht="19.5" customHeight="1" hidden="1">
      <c r="A58" s="23" t="s">
        <v>685</v>
      </c>
      <c r="B58" s="24">
        <v>1006</v>
      </c>
      <c r="C58" s="608"/>
      <c r="D58" s="608"/>
      <c r="E58" s="608"/>
      <c r="F58" s="608">
        <f t="shared" si="0"/>
        <v>0</v>
      </c>
      <c r="G58" s="608"/>
      <c r="H58" s="608">
        <f t="shared" si="1"/>
        <v>0</v>
      </c>
      <c r="I58" s="613"/>
      <c r="J58" s="25"/>
      <c r="K58" s="25"/>
    </row>
    <row r="59" spans="1:11" s="527" customFormat="1" ht="29.25" customHeight="1">
      <c r="A59" s="33" t="s">
        <v>1163</v>
      </c>
      <c r="B59" s="34">
        <v>1100</v>
      </c>
      <c r="C59" s="609">
        <f>C60</f>
        <v>0</v>
      </c>
      <c r="D59" s="609">
        <f>D60+D61</f>
        <v>0</v>
      </c>
      <c r="E59" s="609">
        <f>E60+E61</f>
        <v>0</v>
      </c>
      <c r="F59" s="609">
        <f>C59+D59-E59</f>
        <v>0</v>
      </c>
      <c r="G59" s="609"/>
      <c r="H59" s="609">
        <f>H60</f>
        <v>0</v>
      </c>
      <c r="I59" s="614"/>
      <c r="J59" s="37"/>
      <c r="K59" s="37"/>
    </row>
    <row r="60" spans="1:11" s="47" customFormat="1" ht="31.5" customHeight="1">
      <c r="A60" s="23" t="s">
        <v>1164</v>
      </c>
      <c r="B60" s="24">
        <v>1105</v>
      </c>
      <c r="C60" s="608">
        <v>0</v>
      </c>
      <c r="D60" s="608"/>
      <c r="E60" s="608"/>
      <c r="F60" s="608">
        <f t="shared" si="0"/>
        <v>0</v>
      </c>
      <c r="G60" s="608"/>
      <c r="H60" s="608">
        <f>F60</f>
        <v>0</v>
      </c>
      <c r="I60" s="613"/>
      <c r="J60" s="25"/>
      <c r="K60" s="25"/>
    </row>
    <row r="61" spans="1:11" s="47" customFormat="1" ht="29.25" customHeight="1">
      <c r="A61" s="33" t="s">
        <v>652</v>
      </c>
      <c r="B61" s="34">
        <v>1301</v>
      </c>
      <c r="C61" s="609">
        <v>0</v>
      </c>
      <c r="D61" s="609"/>
      <c r="E61" s="609"/>
      <c r="F61" s="609">
        <f t="shared" si="0"/>
        <v>0</v>
      </c>
      <c r="G61" s="609"/>
      <c r="H61" s="609">
        <f>F61</f>
        <v>0</v>
      </c>
      <c r="I61" s="614"/>
      <c r="J61" s="25"/>
      <c r="K61" s="25"/>
    </row>
    <row r="62" spans="1:11" s="47" customFormat="1" ht="17.25" customHeight="1" hidden="1">
      <c r="A62" s="33" t="s">
        <v>686</v>
      </c>
      <c r="B62" s="34">
        <v>1100</v>
      </c>
      <c r="C62" s="609">
        <f>C63</f>
        <v>0</v>
      </c>
      <c r="D62" s="609">
        <f>D63</f>
        <v>0</v>
      </c>
      <c r="E62" s="609">
        <f>E63</f>
        <v>0</v>
      </c>
      <c r="F62" s="608">
        <f t="shared" si="0"/>
        <v>0</v>
      </c>
      <c r="G62" s="609"/>
      <c r="H62" s="609">
        <f>F62+G62</f>
        <v>0</v>
      </c>
      <c r="I62" s="614">
        <f>I63</f>
        <v>0</v>
      </c>
      <c r="J62" s="35">
        <f>J63</f>
        <v>0</v>
      </c>
      <c r="K62" s="35">
        <f>K63</f>
        <v>0</v>
      </c>
    </row>
    <row r="63" spans="1:11" s="47" customFormat="1" ht="78.75" customHeight="1" hidden="1" thickBot="1">
      <c r="A63" s="697" t="s">
        <v>597</v>
      </c>
      <c r="B63" s="48">
        <v>1104</v>
      </c>
      <c r="C63" s="608">
        <f>'свод бюджет'!Z127</f>
        <v>0</v>
      </c>
      <c r="D63" s="608"/>
      <c r="E63" s="608"/>
      <c r="F63" s="608">
        <f t="shared" si="0"/>
        <v>0</v>
      </c>
      <c r="G63" s="608"/>
      <c r="H63" s="608">
        <f t="shared" si="1"/>
        <v>0</v>
      </c>
      <c r="I63" s="613"/>
      <c r="J63" s="31"/>
      <c r="K63" s="31"/>
    </row>
    <row r="64" ht="15">
      <c r="A64" s="8" t="s">
        <v>974</v>
      </c>
    </row>
    <row r="65" ht="15">
      <c r="A65" s="9" t="s">
        <v>687</v>
      </c>
    </row>
  </sheetData>
  <sheetProtection/>
  <mergeCells count="10">
    <mergeCell ref="A7:K7"/>
    <mergeCell ref="A10:A11"/>
    <mergeCell ref="B10:B11"/>
    <mergeCell ref="C10:C11"/>
    <mergeCell ref="D10:D11"/>
    <mergeCell ref="E10:E11"/>
    <mergeCell ref="F10:F11"/>
    <mergeCell ref="G10:G11"/>
    <mergeCell ref="H10:H11"/>
    <mergeCell ref="A8:I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4" r:id="rId1"/>
  <colBreaks count="1" manualBreakCount="1">
    <brk id="9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26"/>
  <sheetViews>
    <sheetView showZeros="0" view="pageBreakPreview" zoomScale="60" zoomScalePageLayoutView="0" workbookViewId="0" topLeftCell="A1">
      <selection activeCell="B6" sqref="B6:T6"/>
    </sheetView>
  </sheetViews>
  <sheetFormatPr defaultColWidth="9.00390625" defaultRowHeight="12.75"/>
  <cols>
    <col min="1" max="1" width="40.75390625" style="12" customWidth="1"/>
    <col min="2" max="2" width="10.75390625" style="136" customWidth="1"/>
    <col min="3" max="3" width="10.00390625" style="136" customWidth="1"/>
    <col min="4" max="4" width="9.75390625" style="136" customWidth="1"/>
    <col min="5" max="5" width="9.25390625" style="136" customWidth="1"/>
    <col min="6" max="6" width="9.75390625" style="136" customWidth="1"/>
    <col min="7" max="7" width="11.125" style="136" customWidth="1"/>
    <col min="8" max="8" width="9.625" style="136" customWidth="1"/>
    <col min="9" max="9" width="10.00390625" style="136" customWidth="1"/>
    <col min="10" max="10" width="11.125" style="136" customWidth="1"/>
    <col min="11" max="11" width="10.875" style="136" customWidth="1"/>
    <col min="12" max="12" width="10.625" style="136" customWidth="1"/>
    <col min="13" max="13" width="9.375" style="136" customWidth="1"/>
    <col min="14" max="15" width="9.875" style="136" customWidth="1"/>
    <col min="16" max="16" width="9.375" style="136" customWidth="1"/>
    <col min="17" max="17" width="10.00390625" style="136" customWidth="1"/>
    <col min="18" max="18" width="9.125" style="136" customWidth="1"/>
    <col min="19" max="19" width="7.00390625" style="248" customWidth="1"/>
    <col min="20" max="20" width="9.375" style="135" customWidth="1"/>
    <col min="21" max="16384" width="9.125" style="136" customWidth="1"/>
  </cols>
  <sheetData>
    <row r="1" spans="16:19" ht="15.75">
      <c r="P1" s="12"/>
      <c r="S1" s="247"/>
    </row>
    <row r="2" spans="15:19" ht="18.75">
      <c r="O2" s="96" t="s">
        <v>926</v>
      </c>
      <c r="P2" s="405"/>
      <c r="Q2" s="96"/>
      <c r="R2" s="584"/>
      <c r="S2" s="247"/>
    </row>
    <row r="3" spans="15:19" ht="18.75">
      <c r="O3" s="96" t="s">
        <v>546</v>
      </c>
      <c r="P3" s="98"/>
      <c r="Q3" s="96"/>
      <c r="R3" s="584"/>
      <c r="S3" s="247"/>
    </row>
    <row r="4" spans="15:19" ht="18.75">
      <c r="O4" s="96" t="s">
        <v>1278</v>
      </c>
      <c r="P4" s="98"/>
      <c r="Q4" s="96"/>
      <c r="R4" s="584"/>
      <c r="S4" s="247"/>
    </row>
    <row r="5" spans="1:18" ht="18.75">
      <c r="A5" s="136"/>
      <c r="O5" s="585" t="str">
        <f>'1105'!O5</f>
        <v>№5 от 5.03.2012г.</v>
      </c>
      <c r="P5" s="586"/>
      <c r="Q5" s="585"/>
      <c r="R5" s="584"/>
    </row>
    <row r="6" spans="1:20" ht="15">
      <c r="A6" s="136"/>
      <c r="B6" s="1146" t="s">
        <v>1227</v>
      </c>
      <c r="C6" s="1147"/>
      <c r="D6" s="1147"/>
      <c r="E6" s="1147"/>
      <c r="F6" s="1147"/>
      <c r="G6" s="1147"/>
      <c r="H6" s="1147"/>
      <c r="I6" s="1147"/>
      <c r="J6" s="1147"/>
      <c r="K6" s="1147"/>
      <c r="L6" s="1147"/>
      <c r="M6" s="1147"/>
      <c r="N6" s="1147"/>
      <c r="O6" s="1147"/>
      <c r="P6" s="1147"/>
      <c r="Q6" s="1147"/>
      <c r="R6" s="1147"/>
      <c r="S6" s="1147"/>
      <c r="T6" s="1147"/>
    </row>
    <row r="7" ht="15.75">
      <c r="A7" s="136"/>
    </row>
    <row r="8" ht="15.75">
      <c r="A8" s="136"/>
    </row>
    <row r="9" spans="1:20" s="249" customFormat="1" ht="15.75">
      <c r="A9" s="166"/>
      <c r="B9" s="235">
        <v>210</v>
      </c>
      <c r="C9" s="166">
        <v>211</v>
      </c>
      <c r="D9" s="166">
        <v>212</v>
      </c>
      <c r="E9" s="166">
        <v>213</v>
      </c>
      <c r="F9" s="235">
        <v>220</v>
      </c>
      <c r="G9" s="166">
        <v>221</v>
      </c>
      <c r="H9" s="166">
        <v>222</v>
      </c>
      <c r="I9" s="166">
        <v>223</v>
      </c>
      <c r="J9" s="166">
        <v>224</v>
      </c>
      <c r="K9" s="166">
        <v>225</v>
      </c>
      <c r="L9" s="166">
        <v>226</v>
      </c>
      <c r="M9" s="235">
        <v>260</v>
      </c>
      <c r="N9" s="166">
        <v>262</v>
      </c>
      <c r="O9" s="166">
        <v>263</v>
      </c>
      <c r="P9" s="235">
        <v>290</v>
      </c>
      <c r="Q9" s="235">
        <v>300</v>
      </c>
      <c r="R9" s="166">
        <v>310</v>
      </c>
      <c r="S9" s="166">
        <v>340</v>
      </c>
      <c r="T9" s="167"/>
    </row>
    <row r="10" spans="1:20" s="239" customFormat="1" ht="86.25" customHeight="1">
      <c r="A10" s="7"/>
      <c r="B10" s="237" t="s">
        <v>128</v>
      </c>
      <c r="C10" s="238" t="s">
        <v>727</v>
      </c>
      <c r="D10" s="238" t="s">
        <v>130</v>
      </c>
      <c r="E10" s="238" t="s">
        <v>728</v>
      </c>
      <c r="F10" s="237" t="s">
        <v>734</v>
      </c>
      <c r="G10" s="238" t="s">
        <v>132</v>
      </c>
      <c r="H10" s="238" t="s">
        <v>133</v>
      </c>
      <c r="I10" s="238" t="s">
        <v>134</v>
      </c>
      <c r="J10" s="238" t="s">
        <v>135</v>
      </c>
      <c r="K10" s="238" t="s">
        <v>735</v>
      </c>
      <c r="L10" s="238" t="s">
        <v>736</v>
      </c>
      <c r="M10" s="193" t="s">
        <v>200</v>
      </c>
      <c r="N10" s="250" t="s">
        <v>237</v>
      </c>
      <c r="O10" s="250" t="s">
        <v>48</v>
      </c>
      <c r="P10" s="193" t="s">
        <v>140</v>
      </c>
      <c r="Q10" s="193" t="s">
        <v>141</v>
      </c>
      <c r="R10" s="250" t="s">
        <v>142</v>
      </c>
      <c r="S10" s="251" t="s">
        <v>238</v>
      </c>
      <c r="T10" s="193" t="s">
        <v>634</v>
      </c>
    </row>
    <row r="11" spans="1:20" s="257" customFormat="1" ht="18" customHeight="1" hidden="1">
      <c r="A11" s="167" t="s">
        <v>239</v>
      </c>
      <c r="B11" s="252"/>
      <c r="C11" s="253"/>
      <c r="D11" s="254"/>
      <c r="E11" s="254"/>
      <c r="F11" s="254"/>
      <c r="G11" s="254"/>
      <c r="H11" s="255"/>
      <c r="I11" s="256"/>
      <c r="J11" s="254"/>
      <c r="K11" s="255"/>
      <c r="L11" s="255"/>
      <c r="M11" s="255"/>
      <c r="N11" s="255"/>
      <c r="O11" s="255"/>
      <c r="P11" s="255"/>
      <c r="Q11" s="255"/>
      <c r="R11" s="254"/>
      <c r="S11" s="254"/>
      <c r="T11" s="254"/>
    </row>
    <row r="12" spans="1:20" s="257" customFormat="1" ht="18" customHeight="1" hidden="1">
      <c r="A12" s="167" t="s">
        <v>679</v>
      </c>
      <c r="B12" s="252"/>
      <c r="C12" s="253"/>
      <c r="D12" s="254"/>
      <c r="E12" s="254"/>
      <c r="F12" s="254"/>
      <c r="G12" s="254"/>
      <c r="H12" s="255"/>
      <c r="I12" s="256"/>
      <c r="J12" s="254"/>
      <c r="K12" s="255"/>
      <c r="L12" s="255"/>
      <c r="M12" s="255"/>
      <c r="N12" s="255"/>
      <c r="O12" s="255"/>
      <c r="P12" s="255"/>
      <c r="Q12" s="255"/>
      <c r="R12" s="254"/>
      <c r="S12" s="254"/>
      <c r="T12" s="254"/>
    </row>
    <row r="13" spans="1:20" ht="35.25" customHeight="1" hidden="1">
      <c r="A13" s="258" t="s">
        <v>240</v>
      </c>
      <c r="B13" s="259"/>
      <c r="C13" s="260"/>
      <c r="D13" s="260"/>
      <c r="E13" s="260"/>
      <c r="F13" s="260"/>
      <c r="G13" s="261"/>
      <c r="H13" s="262"/>
      <c r="I13" s="263"/>
      <c r="J13" s="261"/>
      <c r="K13" s="262"/>
      <c r="L13" s="262"/>
      <c r="M13" s="264"/>
      <c r="N13" s="264"/>
      <c r="O13" s="264"/>
      <c r="P13" s="264"/>
      <c r="Q13" s="264"/>
      <c r="R13" s="261"/>
      <c r="S13" s="261"/>
      <c r="T13" s="260"/>
    </row>
    <row r="14" spans="1:20" ht="24" customHeight="1" hidden="1">
      <c r="A14" s="236" t="s">
        <v>241</v>
      </c>
      <c r="B14" s="259"/>
      <c r="C14" s="265"/>
      <c r="D14" s="265"/>
      <c r="E14" s="265"/>
      <c r="F14" s="266"/>
      <c r="G14" s="267"/>
      <c r="H14" s="268"/>
      <c r="I14" s="269"/>
      <c r="J14" s="267"/>
      <c r="K14" s="268"/>
      <c r="L14" s="268"/>
      <c r="M14" s="270"/>
      <c r="N14" s="271"/>
      <c r="O14" s="271"/>
      <c r="P14" s="272"/>
      <c r="Q14" s="270">
        <f>SUM(R14:S14)</f>
        <v>0</v>
      </c>
      <c r="R14" s="273"/>
      <c r="S14" s="273"/>
      <c r="T14" s="266">
        <f>B14+F14+M14+P14+Q14</f>
        <v>0</v>
      </c>
    </row>
    <row r="15" spans="1:20" ht="27" customHeight="1" hidden="1">
      <c r="A15" s="136" t="s">
        <v>262</v>
      </c>
      <c r="B15" s="275"/>
      <c r="C15" s="275"/>
      <c r="D15" s="275"/>
      <c r="E15" s="275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</row>
    <row r="16" spans="1:20" s="40" customFormat="1" ht="21" customHeight="1">
      <c r="A16" s="274" t="s">
        <v>45</v>
      </c>
      <c r="B16" s="279"/>
      <c r="C16" s="280"/>
      <c r="D16" s="280"/>
      <c r="E16" s="281"/>
      <c r="F16" s="266"/>
      <c r="G16" s="282"/>
      <c r="H16" s="283"/>
      <c r="I16" s="282"/>
      <c r="J16" s="284"/>
      <c r="K16" s="283"/>
      <c r="L16" s="283"/>
      <c r="M16" s="270"/>
      <c r="N16" s="282"/>
      <c r="O16" s="283"/>
      <c r="P16" s="285"/>
      <c r="Q16" s="285"/>
      <c r="R16" s="286"/>
      <c r="S16" s="286"/>
      <c r="T16" s="266"/>
    </row>
    <row r="17" spans="1:20" s="40" customFormat="1" ht="67.5" customHeight="1">
      <c r="A17" s="588" t="s">
        <v>574</v>
      </c>
      <c r="B17" s="279"/>
      <c r="C17" s="280"/>
      <c r="D17" s="280"/>
      <c r="E17" s="281"/>
      <c r="F17" s="266"/>
      <c r="G17" s="282"/>
      <c r="H17" s="283"/>
      <c r="I17" s="282"/>
      <c r="J17" s="284"/>
      <c r="K17" s="283"/>
      <c r="L17" s="283"/>
      <c r="M17" s="270">
        <f>O18</f>
        <v>123</v>
      </c>
      <c r="N17" s="282"/>
      <c r="O17" s="283">
        <v>123</v>
      </c>
      <c r="P17" s="283"/>
      <c r="Q17" s="285"/>
      <c r="R17" s="286"/>
      <c r="S17" s="286"/>
      <c r="T17" s="266">
        <f>M17</f>
        <v>123</v>
      </c>
    </row>
    <row r="18" spans="1:20" s="41" customFormat="1" ht="20.25" customHeight="1">
      <c r="A18" s="287" t="s">
        <v>46</v>
      </c>
      <c r="B18" s="288"/>
      <c r="C18" s="288"/>
      <c r="D18" s="288"/>
      <c r="E18" s="288"/>
      <c r="F18" s="289"/>
      <c r="G18" s="289"/>
      <c r="H18" s="289"/>
      <c r="I18" s="289"/>
      <c r="J18" s="289"/>
      <c r="K18" s="289"/>
      <c r="L18" s="289"/>
      <c r="M18" s="289">
        <f>O18</f>
        <v>123</v>
      </c>
      <c r="N18" s="289">
        <f>SUM(N17)</f>
        <v>0</v>
      </c>
      <c r="O18" s="289">
        <f>O17</f>
        <v>123</v>
      </c>
      <c r="P18" s="289"/>
      <c r="Q18" s="289"/>
      <c r="R18" s="289"/>
      <c r="S18" s="289"/>
      <c r="T18" s="276">
        <f>M18</f>
        <v>123</v>
      </c>
    </row>
    <row r="19" spans="1:20" s="41" customFormat="1" ht="0.75" customHeight="1">
      <c r="A19" s="625" t="s">
        <v>602</v>
      </c>
      <c r="B19" s="623"/>
      <c r="C19" s="623"/>
      <c r="D19" s="623"/>
      <c r="E19" s="623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266"/>
    </row>
    <row r="20" spans="1:20" s="41" customFormat="1" ht="20.25" customHeight="1" hidden="1">
      <c r="A20" s="625" t="s">
        <v>591</v>
      </c>
      <c r="B20" s="626"/>
      <c r="C20" s="626"/>
      <c r="D20" s="626"/>
      <c r="E20" s="626"/>
      <c r="F20" s="627"/>
      <c r="G20" s="627"/>
      <c r="H20" s="627"/>
      <c r="I20" s="627"/>
      <c r="J20" s="627"/>
      <c r="K20" s="627"/>
      <c r="L20" s="627"/>
      <c r="M20" s="627">
        <f>N20</f>
        <v>0</v>
      </c>
      <c r="N20" s="627">
        <f>'свод бюджет'!S124</f>
        <v>0</v>
      </c>
      <c r="O20" s="627"/>
      <c r="P20" s="627"/>
      <c r="Q20" s="627"/>
      <c r="R20" s="627"/>
      <c r="S20" s="627"/>
      <c r="T20" s="266">
        <f>M20</f>
        <v>0</v>
      </c>
    </row>
    <row r="21" spans="1:20" s="706" customFormat="1" ht="20.25" customHeight="1" hidden="1">
      <c r="A21" s="718" t="s">
        <v>603</v>
      </c>
      <c r="B21" s="719"/>
      <c r="C21" s="719"/>
      <c r="D21" s="719"/>
      <c r="E21" s="719"/>
      <c r="F21" s="720"/>
      <c r="G21" s="720"/>
      <c r="H21" s="720"/>
      <c r="I21" s="720"/>
      <c r="J21" s="720"/>
      <c r="K21" s="720"/>
      <c r="L21" s="720"/>
      <c r="M21" s="720"/>
      <c r="N21" s="720"/>
      <c r="O21" s="720"/>
      <c r="P21" s="720"/>
      <c r="Q21" s="720"/>
      <c r="R21" s="720"/>
      <c r="S21" s="720"/>
      <c r="T21" s="276">
        <f>L21</f>
        <v>0</v>
      </c>
    </row>
    <row r="22" spans="1:20" s="291" customFormat="1" ht="20.25" customHeight="1">
      <c r="A22" s="691" t="s">
        <v>47</v>
      </c>
      <c r="B22" s="692"/>
      <c r="C22" s="692"/>
      <c r="D22" s="692"/>
      <c r="E22" s="692"/>
      <c r="F22" s="693"/>
      <c r="G22" s="693"/>
      <c r="H22" s="693"/>
      <c r="I22" s="693"/>
      <c r="J22" s="693"/>
      <c r="K22" s="693"/>
      <c r="L22" s="693"/>
      <c r="M22" s="693">
        <f>M18+M20</f>
        <v>123</v>
      </c>
      <c r="N22" s="693">
        <f aca="true" t="shared" si="0" ref="N22:T22">N18+N20</f>
        <v>0</v>
      </c>
      <c r="O22" s="693">
        <f t="shared" si="0"/>
        <v>123</v>
      </c>
      <c r="P22" s="693">
        <f t="shared" si="0"/>
        <v>0</v>
      </c>
      <c r="Q22" s="693">
        <f t="shared" si="0"/>
        <v>0</v>
      </c>
      <c r="R22" s="693">
        <f t="shared" si="0"/>
        <v>0</v>
      </c>
      <c r="S22" s="693">
        <f t="shared" si="0"/>
        <v>0</v>
      </c>
      <c r="T22" s="693">
        <f t="shared" si="0"/>
        <v>123</v>
      </c>
    </row>
    <row r="23" spans="1:20" s="299" customFormat="1" ht="18" customHeight="1">
      <c r="A23" s="292"/>
      <c r="B23" s="293"/>
      <c r="C23" s="294"/>
      <c r="D23" s="294"/>
      <c r="E23" s="294"/>
      <c r="F23" s="295"/>
      <c r="G23" s="294"/>
      <c r="H23" s="294"/>
      <c r="I23" s="294"/>
      <c r="J23" s="294"/>
      <c r="K23" s="294"/>
      <c r="L23" s="294"/>
      <c r="M23" s="295"/>
      <c r="N23" s="294"/>
      <c r="O23" s="294"/>
      <c r="P23" s="294"/>
      <c r="Q23" s="296"/>
      <c r="R23" s="294"/>
      <c r="S23" s="297"/>
      <c r="T23" s="298"/>
    </row>
    <row r="24" spans="1:20" s="299" customFormat="1" ht="18" customHeight="1">
      <c r="A24" s="292"/>
      <c r="B24" s="293"/>
      <c r="C24" s="294"/>
      <c r="D24" s="136" t="s">
        <v>687</v>
      </c>
      <c r="E24" s="294"/>
      <c r="F24" s="295"/>
      <c r="G24" s="294"/>
      <c r="H24" s="294"/>
      <c r="I24" s="294"/>
      <c r="J24" s="294"/>
      <c r="K24" s="294"/>
      <c r="L24" s="294"/>
      <c r="M24" s="295"/>
      <c r="N24" s="294"/>
      <c r="O24" s="294"/>
      <c r="P24" s="294"/>
      <c r="Q24" s="296"/>
      <c r="R24" s="294"/>
      <c r="S24" s="297"/>
      <c r="T24" s="298"/>
    </row>
    <row r="25" spans="1:20" s="299" customFormat="1" ht="18" customHeight="1">
      <c r="A25" s="292"/>
      <c r="B25" s="293"/>
      <c r="C25" s="294"/>
      <c r="D25" s="294"/>
      <c r="E25" s="294"/>
      <c r="F25" s="295"/>
      <c r="G25" s="294"/>
      <c r="H25" s="294"/>
      <c r="I25" s="294"/>
      <c r="J25" s="294"/>
      <c r="K25" s="294"/>
      <c r="L25" s="294"/>
      <c r="M25" s="295"/>
      <c r="N25" s="294"/>
      <c r="O25" s="294"/>
      <c r="P25" s="294"/>
      <c r="Q25" s="296"/>
      <c r="R25" s="294"/>
      <c r="S25" s="297"/>
      <c r="T25" s="298"/>
    </row>
    <row r="26" ht="15.75">
      <c r="D26" s="294"/>
    </row>
  </sheetData>
  <sheetProtection/>
  <mergeCells count="1">
    <mergeCell ref="B6:T6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90"/>
  <sheetViews>
    <sheetView zoomScale="110" zoomScaleNormal="110" zoomScalePageLayoutView="0" workbookViewId="0" topLeftCell="A1">
      <selection activeCell="A5" sqref="A5:N5"/>
    </sheetView>
  </sheetViews>
  <sheetFormatPr defaultColWidth="9.00390625" defaultRowHeight="12.75"/>
  <cols>
    <col min="1" max="1" width="31.625" style="0" customWidth="1"/>
    <col min="3" max="4" width="5.875" style="0" customWidth="1"/>
    <col min="5" max="5" width="7.625" style="0" customWidth="1"/>
    <col min="6" max="6" width="6.625" style="0" customWidth="1"/>
    <col min="7" max="7" width="9.125" style="0" hidden="1" customWidth="1"/>
    <col min="8" max="8" width="9.00390625" style="0" hidden="1" customWidth="1"/>
    <col min="9" max="10" width="9.125" style="0" hidden="1" customWidth="1"/>
    <col min="11" max="11" width="7.00390625" style="0" customWidth="1"/>
    <col min="12" max="12" width="10.25390625" style="0" customWidth="1"/>
    <col min="13" max="14" width="0" style="0" hidden="1" customWidth="1"/>
  </cols>
  <sheetData>
    <row r="1" spans="1:14" s="891" customFormat="1" ht="11.25">
      <c r="A1" s="1157" t="s">
        <v>969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</row>
    <row r="2" spans="1:14" s="891" customFormat="1" ht="11.25">
      <c r="A2" s="1157" t="s">
        <v>1283</v>
      </c>
      <c r="B2" s="1157"/>
      <c r="C2" s="1157"/>
      <c r="D2" s="1157"/>
      <c r="E2" s="1157"/>
      <c r="F2" s="1157"/>
      <c r="G2" s="1157"/>
      <c r="H2" s="1157"/>
      <c r="I2" s="1157"/>
      <c r="J2" s="1157"/>
      <c r="K2" s="1157"/>
      <c r="L2" s="1157"/>
      <c r="M2" s="1157"/>
      <c r="N2" s="1157"/>
    </row>
    <row r="3" spans="1:14" ht="12.75">
      <c r="A3" s="1157" t="s">
        <v>1223</v>
      </c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</row>
    <row r="4" spans="1:14" ht="12.75">
      <c r="A4" s="1120"/>
      <c r="B4" s="1121"/>
      <c r="C4" s="1121"/>
      <c r="D4" s="1121"/>
      <c r="E4" s="1121"/>
      <c r="F4" s="1121"/>
      <c r="G4" s="1121"/>
      <c r="H4" s="1121"/>
      <c r="I4" s="1121"/>
      <c r="J4" s="1121"/>
      <c r="K4" s="1121" t="s">
        <v>1284</v>
      </c>
      <c r="L4" s="1121"/>
      <c r="M4" s="1121"/>
      <c r="N4" s="1121"/>
    </row>
    <row r="5" spans="1:14" ht="12.75">
      <c r="A5" s="1148" t="s">
        <v>1209</v>
      </c>
      <c r="B5" s="1148"/>
      <c r="C5" s="1148"/>
      <c r="D5" s="1148"/>
      <c r="E5" s="1148"/>
      <c r="F5" s="1148"/>
      <c r="G5" s="1148"/>
      <c r="H5" s="1148"/>
      <c r="I5" s="1148"/>
      <c r="J5" s="1147"/>
      <c r="K5" s="1147"/>
      <c r="L5" s="1147"/>
      <c r="M5" s="1147"/>
      <c r="N5" s="1147"/>
    </row>
    <row r="6" spans="1:14" ht="12.75">
      <c r="A6" s="1148" t="s">
        <v>1224</v>
      </c>
      <c r="B6" s="1148"/>
      <c r="C6" s="1148"/>
      <c r="D6" s="1148"/>
      <c r="E6" s="1148"/>
      <c r="F6" s="1148"/>
      <c r="G6" s="1148"/>
      <c r="H6" s="1148"/>
      <c r="I6" s="1148"/>
      <c r="J6" s="1147"/>
      <c r="K6" s="1147"/>
      <c r="L6" s="1147"/>
      <c r="M6" s="1147"/>
      <c r="N6" s="1147"/>
    </row>
    <row r="7" spans="1:12" ht="12.75">
      <c r="A7" s="825"/>
      <c r="B7" s="826"/>
      <c r="C7" s="827"/>
      <c r="D7" s="824"/>
      <c r="E7" s="824"/>
      <c r="F7" s="824"/>
      <c r="G7" s="824"/>
      <c r="H7" s="824"/>
      <c r="I7" s="824"/>
      <c r="J7" s="824"/>
      <c r="K7" s="824"/>
      <c r="L7" s="824"/>
    </row>
    <row r="8" spans="1:14" ht="19.5">
      <c r="A8" s="1151" t="s">
        <v>30</v>
      </c>
      <c r="B8" s="1149" t="s">
        <v>955</v>
      </c>
      <c r="C8" s="1150"/>
      <c r="D8" s="1150"/>
      <c r="E8" s="1150"/>
      <c r="F8" s="898"/>
      <c r="G8" s="899"/>
      <c r="H8" s="1153" t="s">
        <v>793</v>
      </c>
      <c r="I8" s="901"/>
      <c r="J8" s="1155"/>
      <c r="K8" s="1156"/>
      <c r="L8" s="902" t="s">
        <v>794</v>
      </c>
      <c r="M8" s="902" t="s">
        <v>794</v>
      </c>
      <c r="N8" s="902" t="s">
        <v>794</v>
      </c>
    </row>
    <row r="9" spans="1:14" ht="31.5" customHeight="1">
      <c r="A9" s="1152"/>
      <c r="B9" s="900" t="s">
        <v>795</v>
      </c>
      <c r="C9" s="903" t="s">
        <v>796</v>
      </c>
      <c r="D9" s="904" t="s">
        <v>797</v>
      </c>
      <c r="E9" s="904" t="s">
        <v>798</v>
      </c>
      <c r="F9" s="904" t="s">
        <v>799</v>
      </c>
      <c r="G9" s="905" t="s">
        <v>800</v>
      </c>
      <c r="H9" s="1154"/>
      <c r="I9" s="901"/>
      <c r="J9" s="906" t="s">
        <v>799</v>
      </c>
      <c r="K9" s="905" t="s">
        <v>800</v>
      </c>
      <c r="L9" s="907" t="s">
        <v>1216</v>
      </c>
      <c r="M9" s="907" t="s">
        <v>956</v>
      </c>
      <c r="N9" s="907" t="s">
        <v>957</v>
      </c>
    </row>
    <row r="10" spans="1:14" ht="30.75" customHeight="1">
      <c r="A10" s="908">
        <v>1</v>
      </c>
      <c r="B10" s="909">
        <v>2</v>
      </c>
      <c r="C10" s="910">
        <v>3</v>
      </c>
      <c r="D10" s="910">
        <v>4</v>
      </c>
      <c r="E10" s="910">
        <v>5</v>
      </c>
      <c r="F10" s="910">
        <v>6</v>
      </c>
      <c r="G10" s="911">
        <v>7</v>
      </c>
      <c r="H10" s="911">
        <v>8</v>
      </c>
      <c r="I10" s="912"/>
      <c r="J10" s="910">
        <v>6</v>
      </c>
      <c r="K10" s="911">
        <v>7</v>
      </c>
      <c r="L10" s="913">
        <v>8</v>
      </c>
      <c r="M10" s="913">
        <v>9</v>
      </c>
      <c r="N10" s="913">
        <v>10</v>
      </c>
    </row>
    <row r="11" spans="1:14" ht="34.5" customHeight="1">
      <c r="A11" s="914" t="s">
        <v>1210</v>
      </c>
      <c r="B11" s="1004">
        <v>400</v>
      </c>
      <c r="C11" s="916" t="s">
        <v>801</v>
      </c>
      <c r="D11" s="916" t="s">
        <v>802</v>
      </c>
      <c r="E11" s="916" t="s">
        <v>803</v>
      </c>
      <c r="F11" s="916" t="s">
        <v>804</v>
      </c>
      <c r="G11" s="916" t="s">
        <v>804</v>
      </c>
      <c r="H11" s="915"/>
      <c r="I11" s="917"/>
      <c r="J11" s="916" t="s">
        <v>804</v>
      </c>
      <c r="K11" s="916" t="s">
        <v>804</v>
      </c>
      <c r="L11" s="918">
        <f>L23+L40+L44+L53+L54+L56+L58+L59</f>
        <v>1827.1999999999998</v>
      </c>
      <c r="M11" s="918">
        <f>M12+M37+M35+M32</f>
        <v>6143</v>
      </c>
      <c r="N11" s="918">
        <f>N12+N37+N35+N32</f>
        <v>6143</v>
      </c>
    </row>
    <row r="12" spans="1:14" ht="39" customHeight="1">
      <c r="A12" s="919" t="s">
        <v>805</v>
      </c>
      <c r="B12" s="920" t="s">
        <v>806</v>
      </c>
      <c r="C12" s="921" t="s">
        <v>801</v>
      </c>
      <c r="D12" s="921" t="s">
        <v>807</v>
      </c>
      <c r="E12" s="921" t="s">
        <v>803</v>
      </c>
      <c r="F12" s="921" t="s">
        <v>804</v>
      </c>
      <c r="G12" s="921" t="s">
        <v>804</v>
      </c>
      <c r="H12" s="922"/>
      <c r="I12" s="912"/>
      <c r="J12" s="921" t="s">
        <v>804</v>
      </c>
      <c r="K12" s="921" t="s">
        <v>804</v>
      </c>
      <c r="L12" s="923"/>
      <c r="M12" s="923">
        <f>M13</f>
        <v>550</v>
      </c>
      <c r="N12" s="923">
        <f>N13</f>
        <v>550</v>
      </c>
    </row>
    <row r="13" spans="1:14" ht="48" customHeight="1">
      <c r="A13" s="924" t="s">
        <v>808</v>
      </c>
      <c r="B13" s="920" t="s">
        <v>806</v>
      </c>
      <c r="C13" s="925" t="s">
        <v>801</v>
      </c>
      <c r="D13" s="925" t="s">
        <v>807</v>
      </c>
      <c r="E13" s="925" t="s">
        <v>809</v>
      </c>
      <c r="F13" s="925" t="s">
        <v>804</v>
      </c>
      <c r="G13" s="925" t="s">
        <v>804</v>
      </c>
      <c r="H13" s="926"/>
      <c r="I13" s="912"/>
      <c r="J13" s="925" t="s">
        <v>804</v>
      </c>
      <c r="K13" s="925" t="s">
        <v>804</v>
      </c>
      <c r="L13" s="923"/>
      <c r="M13" s="923">
        <f aca="true" t="shared" si="0" ref="M13:N17">M22</f>
        <v>550</v>
      </c>
      <c r="N13" s="923">
        <f t="shared" si="0"/>
        <v>550</v>
      </c>
    </row>
    <row r="14" spans="1:14" ht="41.25" customHeight="1">
      <c r="A14" s="927" t="s">
        <v>810</v>
      </c>
      <c r="B14" s="920" t="s">
        <v>806</v>
      </c>
      <c r="C14" s="928" t="s">
        <v>801</v>
      </c>
      <c r="D14" s="928" t="s">
        <v>807</v>
      </c>
      <c r="E14" s="928" t="s">
        <v>811</v>
      </c>
      <c r="F14" s="921" t="s">
        <v>804</v>
      </c>
      <c r="G14" s="928" t="s">
        <v>804</v>
      </c>
      <c r="H14" s="926"/>
      <c r="I14" s="912"/>
      <c r="J14" s="921" t="s">
        <v>804</v>
      </c>
      <c r="K14" s="928" t="s">
        <v>804</v>
      </c>
      <c r="L14" s="923"/>
      <c r="M14" s="923">
        <f t="shared" si="0"/>
        <v>550</v>
      </c>
      <c r="N14" s="923">
        <f t="shared" si="0"/>
        <v>550</v>
      </c>
    </row>
    <row r="15" spans="1:14" ht="20.25" customHeight="1">
      <c r="A15" s="929" t="s">
        <v>812</v>
      </c>
      <c r="B15" s="920" t="s">
        <v>806</v>
      </c>
      <c r="C15" s="928" t="s">
        <v>801</v>
      </c>
      <c r="D15" s="928" t="s">
        <v>807</v>
      </c>
      <c r="E15" s="928" t="s">
        <v>811</v>
      </c>
      <c r="F15" s="921" t="s">
        <v>804</v>
      </c>
      <c r="G15" s="928" t="s">
        <v>42</v>
      </c>
      <c r="H15" s="926"/>
      <c r="I15" s="912"/>
      <c r="J15" s="921" t="s">
        <v>804</v>
      </c>
      <c r="K15" s="928" t="s">
        <v>42</v>
      </c>
      <c r="L15" s="923"/>
      <c r="M15" s="923">
        <f t="shared" si="0"/>
        <v>550</v>
      </c>
      <c r="N15" s="923">
        <f t="shared" si="0"/>
        <v>550</v>
      </c>
    </row>
    <row r="16" spans="1:14" ht="19.5">
      <c r="A16" s="930" t="s">
        <v>813</v>
      </c>
      <c r="B16" s="920" t="s">
        <v>806</v>
      </c>
      <c r="C16" s="928" t="s">
        <v>801</v>
      </c>
      <c r="D16" s="928" t="s">
        <v>807</v>
      </c>
      <c r="E16" s="928" t="s">
        <v>811</v>
      </c>
      <c r="F16" s="928" t="s">
        <v>804</v>
      </c>
      <c r="G16" s="928" t="s">
        <v>814</v>
      </c>
      <c r="H16" s="926"/>
      <c r="I16" s="912"/>
      <c r="J16" s="928" t="s">
        <v>804</v>
      </c>
      <c r="K16" s="928" t="s">
        <v>814</v>
      </c>
      <c r="L16" s="923"/>
      <c r="M16" s="923">
        <f t="shared" si="0"/>
        <v>410</v>
      </c>
      <c r="N16" s="923">
        <f t="shared" si="0"/>
        <v>410</v>
      </c>
    </row>
    <row r="17" spans="1:14" ht="24" customHeight="1">
      <c r="A17" s="930" t="s">
        <v>815</v>
      </c>
      <c r="B17" s="920" t="s">
        <v>806</v>
      </c>
      <c r="C17" s="928" t="s">
        <v>801</v>
      </c>
      <c r="D17" s="928" t="s">
        <v>807</v>
      </c>
      <c r="E17" s="928" t="s">
        <v>811</v>
      </c>
      <c r="F17" s="921" t="s">
        <v>804</v>
      </c>
      <c r="G17" s="928" t="s">
        <v>816</v>
      </c>
      <c r="H17" s="926"/>
      <c r="I17" s="912"/>
      <c r="J17" s="921" t="s">
        <v>804</v>
      </c>
      <c r="K17" s="928" t="s">
        <v>816</v>
      </c>
      <c r="L17" s="923"/>
      <c r="M17" s="923">
        <f t="shared" si="0"/>
        <v>0</v>
      </c>
      <c r="N17" s="923">
        <f t="shared" si="0"/>
        <v>0</v>
      </c>
    </row>
    <row r="18" spans="1:14" ht="12.75">
      <c r="A18" s="930" t="s">
        <v>817</v>
      </c>
      <c r="B18" s="920" t="s">
        <v>806</v>
      </c>
      <c r="C18" s="928" t="s">
        <v>801</v>
      </c>
      <c r="D18" s="928" t="s">
        <v>807</v>
      </c>
      <c r="E18" s="928" t="s">
        <v>811</v>
      </c>
      <c r="F18" s="928" t="s">
        <v>804</v>
      </c>
      <c r="G18" s="928" t="s">
        <v>818</v>
      </c>
      <c r="H18" s="926"/>
      <c r="I18" s="912"/>
      <c r="J18" s="928" t="s">
        <v>804</v>
      </c>
      <c r="K18" s="928" t="s">
        <v>818</v>
      </c>
      <c r="L18" s="931"/>
      <c r="M18" s="931"/>
      <c r="N18" s="931"/>
    </row>
    <row r="19" spans="1:14" ht="12.75">
      <c r="A19" s="930" t="s">
        <v>819</v>
      </c>
      <c r="B19" s="920" t="s">
        <v>806</v>
      </c>
      <c r="C19" s="928" t="s">
        <v>801</v>
      </c>
      <c r="D19" s="928" t="s">
        <v>807</v>
      </c>
      <c r="E19" s="928" t="s">
        <v>811</v>
      </c>
      <c r="F19" s="921" t="s">
        <v>804</v>
      </c>
      <c r="G19" s="928" t="s">
        <v>820</v>
      </c>
      <c r="H19" s="926"/>
      <c r="I19" s="912"/>
      <c r="J19" s="921" t="s">
        <v>804</v>
      </c>
      <c r="K19" s="928" t="s">
        <v>820</v>
      </c>
      <c r="L19" s="931"/>
      <c r="M19" s="931"/>
      <c r="N19" s="931"/>
    </row>
    <row r="20" spans="1:14" ht="10.5" customHeight="1">
      <c r="A20" s="929" t="s">
        <v>84</v>
      </c>
      <c r="B20" s="920" t="s">
        <v>806</v>
      </c>
      <c r="C20" s="928" t="s">
        <v>801</v>
      </c>
      <c r="D20" s="928" t="s">
        <v>807</v>
      </c>
      <c r="E20" s="928" t="s">
        <v>811</v>
      </c>
      <c r="F20" s="928" t="s">
        <v>804</v>
      </c>
      <c r="G20" s="932">
        <v>260</v>
      </c>
      <c r="H20" s="926"/>
      <c r="I20" s="912"/>
      <c r="J20" s="928" t="s">
        <v>804</v>
      </c>
      <c r="K20" s="932">
        <v>260</v>
      </c>
      <c r="L20" s="931"/>
      <c r="M20" s="931"/>
      <c r="N20" s="931"/>
    </row>
    <row r="21" spans="1:14" ht="12.75" customHeight="1">
      <c r="A21" s="929" t="s">
        <v>821</v>
      </c>
      <c r="B21" s="920" t="s">
        <v>806</v>
      </c>
      <c r="C21" s="928" t="s">
        <v>801</v>
      </c>
      <c r="D21" s="928" t="s">
        <v>807</v>
      </c>
      <c r="E21" s="928" t="s">
        <v>811</v>
      </c>
      <c r="F21" s="921" t="s">
        <v>804</v>
      </c>
      <c r="G21" s="932">
        <v>262</v>
      </c>
      <c r="H21" s="926"/>
      <c r="I21" s="912"/>
      <c r="J21" s="921" t="s">
        <v>804</v>
      </c>
      <c r="K21" s="932">
        <v>262</v>
      </c>
      <c r="L21" s="931"/>
      <c r="M21" s="931"/>
      <c r="N21" s="931"/>
    </row>
    <row r="22" spans="1:14" ht="15" customHeight="1">
      <c r="A22" s="927" t="s">
        <v>822</v>
      </c>
      <c r="B22" s="920" t="s">
        <v>806</v>
      </c>
      <c r="C22" s="928" t="s">
        <v>801</v>
      </c>
      <c r="D22" s="928" t="s">
        <v>807</v>
      </c>
      <c r="E22" s="928" t="s">
        <v>823</v>
      </c>
      <c r="F22" s="928" t="s">
        <v>804</v>
      </c>
      <c r="G22" s="928" t="s">
        <v>804</v>
      </c>
      <c r="H22" s="926"/>
      <c r="I22" s="912"/>
      <c r="J22" s="928" t="s">
        <v>804</v>
      </c>
      <c r="K22" s="928" t="s">
        <v>804</v>
      </c>
      <c r="L22" s="923">
        <f>L23+L40+L44+L53+L54+L58+L59+L56</f>
        <v>1827.1999999999998</v>
      </c>
      <c r="M22" s="923">
        <f>M23</f>
        <v>550</v>
      </c>
      <c r="N22" s="923">
        <f>N23</f>
        <v>550</v>
      </c>
    </row>
    <row r="23" spans="1:14" ht="18" customHeight="1">
      <c r="A23" s="930" t="s">
        <v>812</v>
      </c>
      <c r="B23" s="920" t="s">
        <v>806</v>
      </c>
      <c r="C23" s="928" t="s">
        <v>801</v>
      </c>
      <c r="D23" s="928" t="s">
        <v>807</v>
      </c>
      <c r="E23" s="928" t="s">
        <v>823</v>
      </c>
      <c r="F23" s="928" t="s">
        <v>824</v>
      </c>
      <c r="G23" s="928" t="s">
        <v>42</v>
      </c>
      <c r="H23" s="926"/>
      <c r="I23" s="912"/>
      <c r="J23" s="928" t="s">
        <v>824</v>
      </c>
      <c r="K23" s="928" t="s">
        <v>42</v>
      </c>
      <c r="L23" s="933">
        <f>L24+L28</f>
        <v>428</v>
      </c>
      <c r="M23" s="933">
        <f>M24+M28</f>
        <v>550</v>
      </c>
      <c r="N23" s="933">
        <f>N24+N28</f>
        <v>550</v>
      </c>
    </row>
    <row r="24" spans="1:14" ht="19.5">
      <c r="A24" s="930" t="s">
        <v>813</v>
      </c>
      <c r="B24" s="920" t="s">
        <v>806</v>
      </c>
      <c r="C24" s="928" t="s">
        <v>801</v>
      </c>
      <c r="D24" s="928" t="s">
        <v>807</v>
      </c>
      <c r="E24" s="928" t="s">
        <v>823</v>
      </c>
      <c r="F24" s="928" t="s">
        <v>824</v>
      </c>
      <c r="G24" s="928" t="s">
        <v>814</v>
      </c>
      <c r="H24" s="926"/>
      <c r="I24" s="912"/>
      <c r="J24" s="928" t="s">
        <v>824</v>
      </c>
      <c r="K24" s="928" t="s">
        <v>814</v>
      </c>
      <c r="L24" s="933">
        <f>L25+L27</f>
        <v>428</v>
      </c>
      <c r="M24" s="933">
        <f>M25+M27</f>
        <v>550</v>
      </c>
      <c r="N24" s="933">
        <f>N25+N27</f>
        <v>550</v>
      </c>
    </row>
    <row r="25" spans="1:14" ht="21.75" customHeight="1">
      <c r="A25" s="930" t="s">
        <v>815</v>
      </c>
      <c r="B25" s="920" t="s">
        <v>806</v>
      </c>
      <c r="C25" s="928" t="s">
        <v>801</v>
      </c>
      <c r="D25" s="928" t="s">
        <v>807</v>
      </c>
      <c r="E25" s="928" t="s">
        <v>823</v>
      </c>
      <c r="F25" s="928" t="s">
        <v>824</v>
      </c>
      <c r="G25" s="928" t="s">
        <v>816</v>
      </c>
      <c r="H25" s="926"/>
      <c r="I25" s="912"/>
      <c r="J25" s="928" t="s">
        <v>824</v>
      </c>
      <c r="K25" s="928" t="s">
        <v>816</v>
      </c>
      <c r="L25" s="933">
        <v>319</v>
      </c>
      <c r="M25" s="933">
        <v>410</v>
      </c>
      <c r="N25" s="933">
        <v>410</v>
      </c>
    </row>
    <row r="26" spans="1:14" ht="12.75">
      <c r="A26" s="930" t="s">
        <v>817</v>
      </c>
      <c r="B26" s="920" t="s">
        <v>806</v>
      </c>
      <c r="C26" s="928" t="s">
        <v>801</v>
      </c>
      <c r="D26" s="928" t="s">
        <v>807</v>
      </c>
      <c r="E26" s="928" t="s">
        <v>823</v>
      </c>
      <c r="F26" s="928" t="s">
        <v>824</v>
      </c>
      <c r="G26" s="928" t="s">
        <v>818</v>
      </c>
      <c r="H26" s="926"/>
      <c r="I26" s="912"/>
      <c r="J26" s="928" t="s">
        <v>824</v>
      </c>
      <c r="K26" s="928" t="s">
        <v>818</v>
      </c>
      <c r="L26" s="933"/>
      <c r="M26" s="933"/>
      <c r="N26" s="933"/>
    </row>
    <row r="27" spans="1:14" ht="12.75">
      <c r="A27" s="930" t="s">
        <v>819</v>
      </c>
      <c r="B27" s="920" t="s">
        <v>806</v>
      </c>
      <c r="C27" s="928" t="s">
        <v>801</v>
      </c>
      <c r="D27" s="928" t="s">
        <v>807</v>
      </c>
      <c r="E27" s="928" t="s">
        <v>823</v>
      </c>
      <c r="F27" s="928" t="s">
        <v>824</v>
      </c>
      <c r="G27" s="928" t="s">
        <v>820</v>
      </c>
      <c r="H27" s="926"/>
      <c r="I27" s="912"/>
      <c r="J27" s="928" t="s">
        <v>824</v>
      </c>
      <c r="K27" s="928" t="s">
        <v>820</v>
      </c>
      <c r="L27" s="933">
        <v>109</v>
      </c>
      <c r="M27" s="933">
        <v>140</v>
      </c>
      <c r="N27" s="933">
        <v>140</v>
      </c>
    </row>
    <row r="28" spans="1:14" ht="15" customHeight="1">
      <c r="A28" s="929" t="s">
        <v>84</v>
      </c>
      <c r="B28" s="920" t="s">
        <v>806</v>
      </c>
      <c r="C28" s="928" t="s">
        <v>801</v>
      </c>
      <c r="D28" s="928" t="s">
        <v>807</v>
      </c>
      <c r="E28" s="928" t="s">
        <v>823</v>
      </c>
      <c r="F28" s="928" t="s">
        <v>824</v>
      </c>
      <c r="G28" s="932">
        <v>260</v>
      </c>
      <c r="H28" s="926"/>
      <c r="I28" s="912"/>
      <c r="J28" s="928" t="s">
        <v>824</v>
      </c>
      <c r="K28" s="932">
        <v>260</v>
      </c>
      <c r="L28" s="933"/>
      <c r="M28" s="933"/>
      <c r="N28" s="933"/>
    </row>
    <row r="29" spans="1:14" ht="11.25" customHeight="1">
      <c r="A29" s="929" t="s">
        <v>821</v>
      </c>
      <c r="B29" s="920" t="s">
        <v>806</v>
      </c>
      <c r="C29" s="928" t="s">
        <v>801</v>
      </c>
      <c r="D29" s="928" t="s">
        <v>807</v>
      </c>
      <c r="E29" s="928" t="s">
        <v>823</v>
      </c>
      <c r="F29" s="928" t="s">
        <v>824</v>
      </c>
      <c r="G29" s="932">
        <v>262</v>
      </c>
      <c r="H29" s="926"/>
      <c r="I29" s="912"/>
      <c r="J29" s="928" t="s">
        <v>824</v>
      </c>
      <c r="K29" s="932">
        <v>262</v>
      </c>
      <c r="L29" s="933"/>
      <c r="M29" s="933"/>
      <c r="N29" s="933"/>
    </row>
    <row r="30" spans="1:14" ht="21" customHeight="1">
      <c r="A30" s="919" t="s">
        <v>958</v>
      </c>
      <c r="B30" s="934" t="s">
        <v>806</v>
      </c>
      <c r="C30" s="935" t="s">
        <v>801</v>
      </c>
      <c r="D30" s="935" t="s">
        <v>912</v>
      </c>
      <c r="E30" s="935" t="s">
        <v>959</v>
      </c>
      <c r="F30" s="928"/>
      <c r="G30" s="932"/>
      <c r="H30" s="926"/>
      <c r="I30" s="912"/>
      <c r="J30" s="935" t="s">
        <v>258</v>
      </c>
      <c r="K30" s="936" t="s">
        <v>804</v>
      </c>
      <c r="L30" s="937">
        <f aca="true" t="shared" si="1" ref="L30:N31">L31</f>
        <v>0</v>
      </c>
      <c r="M30" s="937">
        <f t="shared" si="1"/>
        <v>216</v>
      </c>
      <c r="N30" s="937">
        <f t="shared" si="1"/>
        <v>216</v>
      </c>
    </row>
    <row r="31" spans="1:14" ht="12.75" hidden="1">
      <c r="A31" s="930" t="s">
        <v>828</v>
      </c>
      <c r="B31" s="934" t="s">
        <v>806</v>
      </c>
      <c r="C31" s="935" t="s">
        <v>801</v>
      </c>
      <c r="D31" s="935" t="s">
        <v>912</v>
      </c>
      <c r="E31" s="935" t="s">
        <v>959</v>
      </c>
      <c r="F31" s="928"/>
      <c r="G31" s="932"/>
      <c r="H31" s="926"/>
      <c r="I31" s="912"/>
      <c r="J31" s="935" t="s">
        <v>258</v>
      </c>
      <c r="K31" s="936" t="s">
        <v>42</v>
      </c>
      <c r="L31" s="937">
        <f t="shared" si="1"/>
        <v>0</v>
      </c>
      <c r="M31" s="937">
        <f t="shared" si="1"/>
        <v>216</v>
      </c>
      <c r="N31" s="937">
        <f t="shared" si="1"/>
        <v>216</v>
      </c>
    </row>
    <row r="32" spans="1:14" ht="12.75" hidden="1">
      <c r="A32" s="930" t="s">
        <v>960</v>
      </c>
      <c r="B32" s="934" t="s">
        <v>806</v>
      </c>
      <c r="C32" s="935" t="s">
        <v>801</v>
      </c>
      <c r="D32" s="935" t="s">
        <v>912</v>
      </c>
      <c r="E32" s="935" t="s">
        <v>959</v>
      </c>
      <c r="F32" s="928"/>
      <c r="G32" s="932"/>
      <c r="H32" s="926"/>
      <c r="I32" s="912"/>
      <c r="J32" s="935" t="s">
        <v>258</v>
      </c>
      <c r="K32" s="936" t="s">
        <v>961</v>
      </c>
      <c r="L32" s="937"/>
      <c r="M32" s="937">
        <v>216</v>
      </c>
      <c r="N32" s="937">
        <v>216</v>
      </c>
    </row>
    <row r="33" spans="1:14" ht="12.75" hidden="1">
      <c r="A33" s="938" t="s">
        <v>825</v>
      </c>
      <c r="B33" s="934" t="s">
        <v>806</v>
      </c>
      <c r="C33" s="935" t="s">
        <v>801</v>
      </c>
      <c r="D33" s="935" t="s">
        <v>912</v>
      </c>
      <c r="E33" s="935" t="s">
        <v>827</v>
      </c>
      <c r="F33" s="928" t="s">
        <v>258</v>
      </c>
      <c r="G33" s="939" t="s">
        <v>804</v>
      </c>
      <c r="H33" s="926"/>
      <c r="I33" s="912"/>
      <c r="J33" s="935" t="s">
        <v>258</v>
      </c>
      <c r="K33" s="935" t="s">
        <v>804</v>
      </c>
      <c r="L33" s="940">
        <f>L35</f>
        <v>0</v>
      </c>
      <c r="M33" s="940">
        <f>M35</f>
        <v>388</v>
      </c>
      <c r="N33" s="940">
        <f>N35</f>
        <v>388</v>
      </c>
    </row>
    <row r="34" spans="1:14" ht="13.5" customHeight="1">
      <c r="A34" s="930" t="s">
        <v>828</v>
      </c>
      <c r="B34" s="934" t="s">
        <v>806</v>
      </c>
      <c r="C34" s="935" t="s">
        <v>801</v>
      </c>
      <c r="D34" s="935" t="s">
        <v>912</v>
      </c>
      <c r="E34" s="935" t="s">
        <v>827</v>
      </c>
      <c r="F34" s="928" t="s">
        <v>258</v>
      </c>
      <c r="G34" s="939" t="s">
        <v>804</v>
      </c>
      <c r="H34" s="926"/>
      <c r="I34" s="912"/>
      <c r="J34" s="935" t="s">
        <v>258</v>
      </c>
      <c r="K34" s="935" t="s">
        <v>42</v>
      </c>
      <c r="L34" s="940"/>
      <c r="M34" s="940">
        <f>M35</f>
        <v>388</v>
      </c>
      <c r="N34" s="940">
        <f>N35</f>
        <v>388</v>
      </c>
    </row>
    <row r="35" spans="1:14" ht="12" customHeight="1">
      <c r="A35" s="929" t="s">
        <v>829</v>
      </c>
      <c r="B35" s="934" t="s">
        <v>806</v>
      </c>
      <c r="C35" s="935" t="s">
        <v>801</v>
      </c>
      <c r="D35" s="935" t="s">
        <v>912</v>
      </c>
      <c r="E35" s="935" t="s">
        <v>827</v>
      </c>
      <c r="F35" s="928" t="s">
        <v>258</v>
      </c>
      <c r="G35" s="939" t="s">
        <v>804</v>
      </c>
      <c r="H35" s="926"/>
      <c r="I35" s="912"/>
      <c r="J35" s="935" t="s">
        <v>258</v>
      </c>
      <c r="K35" s="935" t="s">
        <v>830</v>
      </c>
      <c r="L35" s="940"/>
      <c r="M35" s="940">
        <v>388</v>
      </c>
      <c r="N35" s="940">
        <v>388</v>
      </c>
    </row>
    <row r="36" spans="1:14" ht="12.75" customHeight="1">
      <c r="A36" s="927" t="s">
        <v>654</v>
      </c>
      <c r="B36" s="920" t="s">
        <v>806</v>
      </c>
      <c r="C36" s="928" t="s">
        <v>801</v>
      </c>
      <c r="D36" s="928" t="s">
        <v>1184</v>
      </c>
      <c r="E36" s="928" t="s">
        <v>803</v>
      </c>
      <c r="F36" s="928" t="s">
        <v>804</v>
      </c>
      <c r="G36" s="928" t="s">
        <v>804</v>
      </c>
      <c r="H36" s="926"/>
      <c r="I36" s="912"/>
      <c r="J36" s="928" t="s">
        <v>804</v>
      </c>
      <c r="K36" s="928" t="s">
        <v>804</v>
      </c>
      <c r="L36" s="923">
        <f>L37</f>
        <v>0</v>
      </c>
      <c r="M36" s="923">
        <f aca="true" t="shared" si="2" ref="L36:N38">M37</f>
        <v>4989</v>
      </c>
      <c r="N36" s="923">
        <f t="shared" si="2"/>
        <v>4989</v>
      </c>
    </row>
    <row r="37" spans="1:14" ht="48.75">
      <c r="A37" s="941" t="s">
        <v>808</v>
      </c>
      <c r="B37" s="920" t="s">
        <v>806</v>
      </c>
      <c r="C37" s="928" t="s">
        <v>801</v>
      </c>
      <c r="D37" s="928" t="s">
        <v>1184</v>
      </c>
      <c r="E37" s="928" t="s">
        <v>809</v>
      </c>
      <c r="F37" s="928" t="s">
        <v>804</v>
      </c>
      <c r="G37" s="928" t="s">
        <v>831</v>
      </c>
      <c r="H37" s="926"/>
      <c r="I37" s="912"/>
      <c r="J37" s="928" t="s">
        <v>804</v>
      </c>
      <c r="K37" s="928" t="s">
        <v>804</v>
      </c>
      <c r="L37" s="923"/>
      <c r="M37" s="923">
        <f t="shared" si="2"/>
        <v>4989</v>
      </c>
      <c r="N37" s="923">
        <f t="shared" si="2"/>
        <v>4989</v>
      </c>
    </row>
    <row r="38" spans="1:14" ht="31.5" customHeight="1">
      <c r="A38" s="927" t="s">
        <v>832</v>
      </c>
      <c r="B38" s="920" t="s">
        <v>806</v>
      </c>
      <c r="C38" s="928" t="s">
        <v>801</v>
      </c>
      <c r="D38" s="928" t="s">
        <v>1184</v>
      </c>
      <c r="E38" s="928" t="s">
        <v>833</v>
      </c>
      <c r="F38" s="928" t="s">
        <v>824</v>
      </c>
      <c r="G38" s="928" t="s">
        <v>804</v>
      </c>
      <c r="H38" s="926"/>
      <c r="I38" s="912"/>
      <c r="J38" s="928" t="s">
        <v>824</v>
      </c>
      <c r="K38" s="928" t="s">
        <v>804</v>
      </c>
      <c r="L38" s="923">
        <f t="shared" si="2"/>
        <v>1367.8999999999999</v>
      </c>
      <c r="M38" s="923">
        <f t="shared" si="2"/>
        <v>4989</v>
      </c>
      <c r="N38" s="923">
        <f t="shared" si="2"/>
        <v>4989</v>
      </c>
    </row>
    <row r="39" spans="1:14" ht="12.75">
      <c r="A39" s="930" t="s">
        <v>812</v>
      </c>
      <c r="B39" s="920" t="s">
        <v>806</v>
      </c>
      <c r="C39" s="928" t="s">
        <v>801</v>
      </c>
      <c r="D39" s="928" t="s">
        <v>1184</v>
      </c>
      <c r="E39" s="928" t="s">
        <v>833</v>
      </c>
      <c r="F39" s="928" t="s">
        <v>824</v>
      </c>
      <c r="G39" s="928" t="s">
        <v>42</v>
      </c>
      <c r="H39" s="926"/>
      <c r="I39" s="912"/>
      <c r="J39" s="928" t="s">
        <v>824</v>
      </c>
      <c r="K39" s="928" t="s">
        <v>42</v>
      </c>
      <c r="L39" s="923">
        <f>L40+L44+L53+L54+L56</f>
        <v>1367.8999999999999</v>
      </c>
      <c r="M39" s="923">
        <f>M40+M44+M53+M54</f>
        <v>4989</v>
      </c>
      <c r="N39" s="923">
        <f>N40+N44+N53+N54</f>
        <v>4989</v>
      </c>
    </row>
    <row r="40" spans="1:14" ht="19.5">
      <c r="A40" s="930" t="s">
        <v>813</v>
      </c>
      <c r="B40" s="920" t="s">
        <v>806</v>
      </c>
      <c r="C40" s="928" t="s">
        <v>801</v>
      </c>
      <c r="D40" s="928" t="s">
        <v>1184</v>
      </c>
      <c r="E40" s="928" t="s">
        <v>833</v>
      </c>
      <c r="F40" s="928" t="s">
        <v>824</v>
      </c>
      <c r="G40" s="928" t="s">
        <v>814</v>
      </c>
      <c r="H40" s="926"/>
      <c r="I40" s="912"/>
      <c r="J40" s="928" t="s">
        <v>824</v>
      </c>
      <c r="K40" s="928" t="s">
        <v>814</v>
      </c>
      <c r="L40" s="933">
        <f>L41+L42+L43</f>
        <v>860.3</v>
      </c>
      <c r="M40" s="933">
        <f>M41+M42+M43</f>
        <v>3163</v>
      </c>
      <c r="N40" s="933">
        <f>N41+N42+N43</f>
        <v>3163</v>
      </c>
    </row>
    <row r="41" spans="1:14" ht="17.25" customHeight="1">
      <c r="A41" s="930" t="s">
        <v>815</v>
      </c>
      <c r="B41" s="920" t="s">
        <v>806</v>
      </c>
      <c r="C41" s="928" t="s">
        <v>801</v>
      </c>
      <c r="D41" s="928" t="s">
        <v>1184</v>
      </c>
      <c r="E41" s="928" t="s">
        <v>833</v>
      </c>
      <c r="F41" s="928" t="s">
        <v>824</v>
      </c>
      <c r="G41" s="928" t="s">
        <v>816</v>
      </c>
      <c r="H41" s="926"/>
      <c r="I41" s="912"/>
      <c r="J41" s="928" t="s">
        <v>824</v>
      </c>
      <c r="K41" s="928" t="s">
        <v>816</v>
      </c>
      <c r="L41" s="933">
        <v>638.8</v>
      </c>
      <c r="M41" s="933">
        <v>2293</v>
      </c>
      <c r="N41" s="933">
        <v>2293</v>
      </c>
    </row>
    <row r="42" spans="1:14" ht="12.75">
      <c r="A42" s="930" t="s">
        <v>817</v>
      </c>
      <c r="B42" s="920" t="s">
        <v>806</v>
      </c>
      <c r="C42" s="928" t="s">
        <v>801</v>
      </c>
      <c r="D42" s="928" t="s">
        <v>1184</v>
      </c>
      <c r="E42" s="928" t="s">
        <v>833</v>
      </c>
      <c r="F42" s="928" t="s">
        <v>824</v>
      </c>
      <c r="G42" s="928" t="s">
        <v>818</v>
      </c>
      <c r="H42" s="926"/>
      <c r="I42" s="912"/>
      <c r="J42" s="928" t="s">
        <v>824</v>
      </c>
      <c r="K42" s="928" t="s">
        <v>818</v>
      </c>
      <c r="L42" s="933">
        <v>3</v>
      </c>
      <c r="M42" s="933">
        <v>86</v>
      </c>
      <c r="N42" s="933">
        <v>86</v>
      </c>
    </row>
    <row r="43" spans="1:14" ht="12.75">
      <c r="A43" s="930" t="s">
        <v>819</v>
      </c>
      <c r="B43" s="920" t="s">
        <v>806</v>
      </c>
      <c r="C43" s="928" t="s">
        <v>801</v>
      </c>
      <c r="D43" s="928" t="s">
        <v>1184</v>
      </c>
      <c r="E43" s="928" t="s">
        <v>833</v>
      </c>
      <c r="F43" s="928" t="s">
        <v>824</v>
      </c>
      <c r="G43" s="928" t="s">
        <v>820</v>
      </c>
      <c r="H43" s="926"/>
      <c r="I43" s="912"/>
      <c r="J43" s="928" t="s">
        <v>824</v>
      </c>
      <c r="K43" s="928" t="s">
        <v>820</v>
      </c>
      <c r="L43" s="933">
        <v>218.5</v>
      </c>
      <c r="M43" s="933">
        <v>784</v>
      </c>
      <c r="N43" s="933">
        <v>784</v>
      </c>
    </row>
    <row r="44" spans="1:14" ht="11.25" customHeight="1">
      <c r="A44" s="930" t="s">
        <v>834</v>
      </c>
      <c r="B44" s="920" t="s">
        <v>806</v>
      </c>
      <c r="C44" s="928" t="s">
        <v>801</v>
      </c>
      <c r="D44" s="928" t="s">
        <v>1184</v>
      </c>
      <c r="E44" s="928" t="s">
        <v>833</v>
      </c>
      <c r="F44" s="928" t="s">
        <v>824</v>
      </c>
      <c r="G44" s="928" t="s">
        <v>835</v>
      </c>
      <c r="H44" s="926"/>
      <c r="I44" s="912"/>
      <c r="J44" s="928" t="s">
        <v>824</v>
      </c>
      <c r="K44" s="928" t="s">
        <v>835</v>
      </c>
      <c r="L44" s="923">
        <f>L45+L46+L47+L48+L49</f>
        <v>340.59999999999997</v>
      </c>
      <c r="M44" s="923">
        <f>M45+M46+M47+M48+M49</f>
        <v>1581</v>
      </c>
      <c r="N44" s="923">
        <f>N45+N46+N47+N48+N49</f>
        <v>1581</v>
      </c>
    </row>
    <row r="45" spans="1:14" ht="12.75" customHeight="1">
      <c r="A45" s="930" t="s">
        <v>77</v>
      </c>
      <c r="B45" s="920" t="s">
        <v>806</v>
      </c>
      <c r="C45" s="928" t="s">
        <v>801</v>
      </c>
      <c r="D45" s="928" t="s">
        <v>1184</v>
      </c>
      <c r="E45" s="928" t="s">
        <v>833</v>
      </c>
      <c r="F45" s="928" t="s">
        <v>824</v>
      </c>
      <c r="G45" s="928" t="s">
        <v>836</v>
      </c>
      <c r="H45" s="926"/>
      <c r="I45" s="912"/>
      <c r="J45" s="928" t="s">
        <v>824</v>
      </c>
      <c r="K45" s="928" t="s">
        <v>836</v>
      </c>
      <c r="L45" s="933">
        <v>70</v>
      </c>
      <c r="M45" s="933">
        <v>135</v>
      </c>
      <c r="N45" s="933">
        <v>135</v>
      </c>
    </row>
    <row r="46" spans="1:14" ht="12.75" customHeight="1">
      <c r="A46" s="930" t="s">
        <v>837</v>
      </c>
      <c r="B46" s="920" t="s">
        <v>806</v>
      </c>
      <c r="C46" s="928" t="s">
        <v>801</v>
      </c>
      <c r="D46" s="928" t="s">
        <v>1184</v>
      </c>
      <c r="E46" s="928" t="s">
        <v>833</v>
      </c>
      <c r="F46" s="928" t="s">
        <v>824</v>
      </c>
      <c r="G46" s="928" t="s">
        <v>838</v>
      </c>
      <c r="H46" s="926"/>
      <c r="I46" s="912"/>
      <c r="J46" s="928" t="s">
        <v>824</v>
      </c>
      <c r="K46" s="928" t="s">
        <v>838</v>
      </c>
      <c r="L46" s="933">
        <v>13</v>
      </c>
      <c r="M46" s="933">
        <v>72</v>
      </c>
      <c r="N46" s="933">
        <v>72</v>
      </c>
    </row>
    <row r="47" spans="1:14" ht="12.75" customHeight="1">
      <c r="A47" s="930" t="s">
        <v>79</v>
      </c>
      <c r="B47" s="920" t="s">
        <v>806</v>
      </c>
      <c r="C47" s="928" t="s">
        <v>801</v>
      </c>
      <c r="D47" s="928" t="s">
        <v>1184</v>
      </c>
      <c r="E47" s="928" t="s">
        <v>833</v>
      </c>
      <c r="F47" s="928" t="s">
        <v>824</v>
      </c>
      <c r="G47" s="928" t="s">
        <v>839</v>
      </c>
      <c r="H47" s="926"/>
      <c r="I47" s="912"/>
      <c r="J47" s="928" t="s">
        <v>824</v>
      </c>
      <c r="K47" s="932">
        <v>223</v>
      </c>
      <c r="L47" s="933">
        <v>149</v>
      </c>
      <c r="M47" s="933">
        <v>871</v>
      </c>
      <c r="N47" s="933">
        <v>871</v>
      </c>
    </row>
    <row r="48" spans="1:14" ht="15" customHeight="1">
      <c r="A48" s="929" t="s">
        <v>80</v>
      </c>
      <c r="B48" s="920" t="s">
        <v>806</v>
      </c>
      <c r="C48" s="928" t="s">
        <v>801</v>
      </c>
      <c r="D48" s="928" t="s">
        <v>1184</v>
      </c>
      <c r="E48" s="928" t="s">
        <v>833</v>
      </c>
      <c r="F48" s="928" t="s">
        <v>824</v>
      </c>
      <c r="G48" s="932">
        <v>224</v>
      </c>
      <c r="H48" s="926"/>
      <c r="I48" s="912"/>
      <c r="J48" s="928" t="s">
        <v>824</v>
      </c>
      <c r="K48" s="928" t="s">
        <v>840</v>
      </c>
      <c r="L48" s="933">
        <v>38.4</v>
      </c>
      <c r="M48" s="933">
        <v>295</v>
      </c>
      <c r="N48" s="933">
        <v>295</v>
      </c>
    </row>
    <row r="49" spans="1:14" ht="12.75" customHeight="1">
      <c r="A49" s="930" t="s">
        <v>841</v>
      </c>
      <c r="B49" s="920" t="s">
        <v>806</v>
      </c>
      <c r="C49" s="928" t="s">
        <v>801</v>
      </c>
      <c r="D49" s="928" t="s">
        <v>1184</v>
      </c>
      <c r="E49" s="928" t="s">
        <v>833</v>
      </c>
      <c r="F49" s="928" t="s">
        <v>824</v>
      </c>
      <c r="G49" s="928" t="s">
        <v>840</v>
      </c>
      <c r="H49" s="926"/>
      <c r="I49" s="912"/>
      <c r="J49" s="928" t="s">
        <v>824</v>
      </c>
      <c r="K49" s="928" t="s">
        <v>842</v>
      </c>
      <c r="L49" s="933">
        <v>70.2</v>
      </c>
      <c r="M49" s="933">
        <v>208</v>
      </c>
      <c r="N49" s="933">
        <v>208</v>
      </c>
    </row>
    <row r="50" spans="1:14" ht="13.5" customHeight="1">
      <c r="A50" s="929" t="s">
        <v>84</v>
      </c>
      <c r="B50" s="920" t="s">
        <v>806</v>
      </c>
      <c r="C50" s="928" t="s">
        <v>801</v>
      </c>
      <c r="D50" s="928" t="s">
        <v>1184</v>
      </c>
      <c r="E50" s="928" t="s">
        <v>833</v>
      </c>
      <c r="F50" s="928" t="s">
        <v>824</v>
      </c>
      <c r="G50" s="928" t="s">
        <v>842</v>
      </c>
      <c r="H50" s="926"/>
      <c r="I50" s="912"/>
      <c r="J50" s="928" t="s">
        <v>824</v>
      </c>
      <c r="K50" s="932">
        <v>260</v>
      </c>
      <c r="L50" s="933"/>
      <c r="M50" s="933"/>
      <c r="N50" s="933"/>
    </row>
    <row r="51" spans="1:14" ht="12.75">
      <c r="A51" s="929" t="s">
        <v>843</v>
      </c>
      <c r="B51" s="920" t="s">
        <v>806</v>
      </c>
      <c r="C51" s="928" t="s">
        <v>801</v>
      </c>
      <c r="D51" s="928" t="s">
        <v>1184</v>
      </c>
      <c r="E51" s="928" t="s">
        <v>833</v>
      </c>
      <c r="F51" s="928" t="s">
        <v>824</v>
      </c>
      <c r="G51" s="932">
        <v>260</v>
      </c>
      <c r="H51" s="926"/>
      <c r="I51" s="912"/>
      <c r="J51" s="928" t="s">
        <v>824</v>
      </c>
      <c r="K51" s="932">
        <v>262</v>
      </c>
      <c r="L51" s="933"/>
      <c r="M51" s="933"/>
      <c r="N51" s="933"/>
    </row>
    <row r="52" spans="1:14" ht="13.5" customHeight="1">
      <c r="A52" s="929" t="s">
        <v>844</v>
      </c>
      <c r="B52" s="920" t="s">
        <v>806</v>
      </c>
      <c r="C52" s="928" t="s">
        <v>801</v>
      </c>
      <c r="D52" s="928" t="s">
        <v>1184</v>
      </c>
      <c r="E52" s="928" t="s">
        <v>833</v>
      </c>
      <c r="F52" s="928" t="s">
        <v>824</v>
      </c>
      <c r="G52" s="932">
        <v>262</v>
      </c>
      <c r="H52" s="926"/>
      <c r="I52" s="912"/>
      <c r="J52" s="928" t="s">
        <v>824</v>
      </c>
      <c r="K52" s="932">
        <v>263</v>
      </c>
      <c r="L52" s="933"/>
      <c r="M52" s="933"/>
      <c r="N52" s="933"/>
    </row>
    <row r="53" spans="1:14" ht="21.75" customHeight="1">
      <c r="A53" s="930" t="s">
        <v>88</v>
      </c>
      <c r="B53" s="920" t="s">
        <v>806</v>
      </c>
      <c r="C53" s="928" t="s">
        <v>801</v>
      </c>
      <c r="D53" s="928" t="s">
        <v>1184</v>
      </c>
      <c r="E53" s="928" t="s">
        <v>833</v>
      </c>
      <c r="F53" s="928" t="s">
        <v>824</v>
      </c>
      <c r="G53" s="928" t="s">
        <v>830</v>
      </c>
      <c r="H53" s="926"/>
      <c r="I53" s="912"/>
      <c r="J53" s="928" t="s">
        <v>824</v>
      </c>
      <c r="K53" s="928" t="s">
        <v>830</v>
      </c>
      <c r="L53" s="923">
        <v>87</v>
      </c>
      <c r="M53" s="923">
        <v>50</v>
      </c>
      <c r="N53" s="923">
        <v>50</v>
      </c>
    </row>
    <row r="54" spans="1:14" ht="15" customHeight="1">
      <c r="A54" s="930" t="s">
        <v>845</v>
      </c>
      <c r="B54" s="920" t="s">
        <v>806</v>
      </c>
      <c r="C54" s="928" t="s">
        <v>801</v>
      </c>
      <c r="D54" s="928" t="s">
        <v>1184</v>
      </c>
      <c r="E54" s="928" t="s">
        <v>833</v>
      </c>
      <c r="F54" s="928" t="s">
        <v>824</v>
      </c>
      <c r="G54" s="928" t="s">
        <v>846</v>
      </c>
      <c r="H54" s="926"/>
      <c r="I54" s="912"/>
      <c r="J54" s="928" t="s">
        <v>824</v>
      </c>
      <c r="K54" s="928" t="s">
        <v>846</v>
      </c>
      <c r="L54" s="923">
        <f>L55+L57</f>
        <v>55</v>
      </c>
      <c r="M54" s="923">
        <f>M55+M57</f>
        <v>195</v>
      </c>
      <c r="N54" s="923">
        <f>N55+N57</f>
        <v>195</v>
      </c>
    </row>
    <row r="55" spans="1:14" ht="11.25" customHeight="1">
      <c r="A55" s="930" t="s">
        <v>90</v>
      </c>
      <c r="B55" s="920" t="s">
        <v>806</v>
      </c>
      <c r="C55" s="928" t="s">
        <v>801</v>
      </c>
      <c r="D55" s="928" t="s">
        <v>1184</v>
      </c>
      <c r="E55" s="928" t="s">
        <v>833</v>
      </c>
      <c r="F55" s="928" t="s">
        <v>824</v>
      </c>
      <c r="G55" s="928" t="s">
        <v>847</v>
      </c>
      <c r="H55" s="926"/>
      <c r="I55" s="912"/>
      <c r="J55" s="928" t="s">
        <v>824</v>
      </c>
      <c r="K55" s="928" t="s">
        <v>847</v>
      </c>
      <c r="L55" s="933">
        <v>1</v>
      </c>
      <c r="M55" s="933">
        <v>30</v>
      </c>
      <c r="N55" s="933">
        <v>30</v>
      </c>
    </row>
    <row r="56" spans="1:14" ht="16.5" customHeight="1">
      <c r="A56" s="929" t="s">
        <v>1243</v>
      </c>
      <c r="B56" s="920" t="s">
        <v>806</v>
      </c>
      <c r="C56" s="928" t="s">
        <v>801</v>
      </c>
      <c r="D56" s="928" t="s">
        <v>1184</v>
      </c>
      <c r="E56" s="928" t="s">
        <v>1267</v>
      </c>
      <c r="F56" s="928" t="s">
        <v>824</v>
      </c>
      <c r="G56" s="932">
        <v>320</v>
      </c>
      <c r="H56" s="926"/>
      <c r="I56" s="912"/>
      <c r="J56" s="928" t="s">
        <v>824</v>
      </c>
      <c r="K56" s="932">
        <v>340</v>
      </c>
      <c r="L56" s="933">
        <v>25</v>
      </c>
      <c r="M56" s="933"/>
      <c r="N56" s="933"/>
    </row>
    <row r="57" spans="1:14" ht="12" customHeight="1">
      <c r="A57" s="930" t="s">
        <v>91</v>
      </c>
      <c r="B57" s="934" t="s">
        <v>806</v>
      </c>
      <c r="C57" s="935" t="s">
        <v>801</v>
      </c>
      <c r="D57" s="935" t="s">
        <v>1184</v>
      </c>
      <c r="E57" s="935" t="s">
        <v>833</v>
      </c>
      <c r="F57" s="935" t="s">
        <v>824</v>
      </c>
      <c r="G57" s="935" t="s">
        <v>848</v>
      </c>
      <c r="H57" s="942"/>
      <c r="I57" s="912"/>
      <c r="J57" s="935" t="s">
        <v>824</v>
      </c>
      <c r="K57" s="935" t="s">
        <v>848</v>
      </c>
      <c r="L57" s="937">
        <v>54</v>
      </c>
      <c r="M57" s="937">
        <v>165</v>
      </c>
      <c r="N57" s="937">
        <v>165</v>
      </c>
    </row>
    <row r="58" spans="1:14" ht="12" customHeight="1">
      <c r="A58" s="930" t="s">
        <v>1217</v>
      </c>
      <c r="B58" s="934" t="s">
        <v>806</v>
      </c>
      <c r="C58" s="935" t="s">
        <v>801</v>
      </c>
      <c r="D58" s="935" t="s">
        <v>1184</v>
      </c>
      <c r="E58" s="935" t="s">
        <v>1218</v>
      </c>
      <c r="F58" s="935" t="s">
        <v>385</v>
      </c>
      <c r="G58" s="935"/>
      <c r="H58" s="942"/>
      <c r="I58" s="912"/>
      <c r="J58" s="935"/>
      <c r="K58" s="935" t="s">
        <v>1219</v>
      </c>
      <c r="L58" s="937">
        <v>23.8</v>
      </c>
      <c r="M58" s="937"/>
      <c r="N58" s="937"/>
    </row>
    <row r="59" spans="1:14" ht="12" customHeight="1">
      <c r="A59" s="930" t="s">
        <v>1220</v>
      </c>
      <c r="B59" s="934" t="s">
        <v>806</v>
      </c>
      <c r="C59" s="935" t="s">
        <v>801</v>
      </c>
      <c r="D59" s="935" t="s">
        <v>1184</v>
      </c>
      <c r="E59" s="935" t="s">
        <v>1266</v>
      </c>
      <c r="F59" s="935" t="s">
        <v>385</v>
      </c>
      <c r="G59" s="935"/>
      <c r="H59" s="942"/>
      <c r="I59" s="912"/>
      <c r="J59" s="935"/>
      <c r="K59" s="935" t="s">
        <v>1219</v>
      </c>
      <c r="L59" s="937">
        <v>7.5</v>
      </c>
      <c r="M59" s="937"/>
      <c r="N59" s="937"/>
    </row>
    <row r="60" spans="1:14" ht="12" customHeight="1">
      <c r="A60" s="943" t="s">
        <v>1211</v>
      </c>
      <c r="B60" s="944" t="s">
        <v>806</v>
      </c>
      <c r="C60" s="945" t="s">
        <v>807</v>
      </c>
      <c r="D60" s="945" t="s">
        <v>802</v>
      </c>
      <c r="E60" s="945" t="s">
        <v>803</v>
      </c>
      <c r="F60" s="945" t="s">
        <v>804</v>
      </c>
      <c r="G60" s="945" t="s">
        <v>804</v>
      </c>
      <c r="H60" s="946"/>
      <c r="I60" s="947"/>
      <c r="J60" s="945" t="s">
        <v>804</v>
      </c>
      <c r="K60" s="945" t="s">
        <v>804</v>
      </c>
      <c r="L60" s="948">
        <f>L61</f>
        <v>140.1</v>
      </c>
      <c r="M60" s="948">
        <f>M61</f>
        <v>232.5</v>
      </c>
      <c r="N60" s="948">
        <f>N61</f>
        <v>232.5</v>
      </c>
    </row>
    <row r="61" spans="1:14" ht="29.25">
      <c r="A61" s="949" t="s">
        <v>849</v>
      </c>
      <c r="B61" s="934" t="s">
        <v>806</v>
      </c>
      <c r="C61" s="935" t="s">
        <v>807</v>
      </c>
      <c r="D61" s="935" t="s">
        <v>850</v>
      </c>
      <c r="E61" s="935" t="s">
        <v>851</v>
      </c>
      <c r="F61" s="935" t="s">
        <v>804</v>
      </c>
      <c r="G61" s="935" t="s">
        <v>804</v>
      </c>
      <c r="H61" s="942"/>
      <c r="I61" s="950"/>
      <c r="J61" s="935" t="s">
        <v>804</v>
      </c>
      <c r="K61" s="935" t="s">
        <v>804</v>
      </c>
      <c r="L61" s="951">
        <f>L62</f>
        <v>140.1</v>
      </c>
      <c r="M61" s="951">
        <f>M63</f>
        <v>232.5</v>
      </c>
      <c r="N61" s="951">
        <f>N63</f>
        <v>232.5</v>
      </c>
    </row>
    <row r="62" spans="1:14" ht="28.5" customHeight="1">
      <c r="A62" s="938" t="s">
        <v>852</v>
      </c>
      <c r="B62" s="934" t="s">
        <v>806</v>
      </c>
      <c r="C62" s="935" t="s">
        <v>807</v>
      </c>
      <c r="D62" s="935" t="s">
        <v>850</v>
      </c>
      <c r="E62" s="935" t="s">
        <v>853</v>
      </c>
      <c r="F62" s="935" t="s">
        <v>824</v>
      </c>
      <c r="G62" s="935" t="s">
        <v>804</v>
      </c>
      <c r="H62" s="942"/>
      <c r="I62" s="950"/>
      <c r="J62" s="935" t="s">
        <v>824</v>
      </c>
      <c r="K62" s="935" t="s">
        <v>804</v>
      </c>
      <c r="L62" s="951">
        <f>L63+L76</f>
        <v>140.1</v>
      </c>
      <c r="M62" s="951">
        <f>M63</f>
        <v>232.5</v>
      </c>
      <c r="N62" s="951">
        <f>N63</f>
        <v>232.5</v>
      </c>
    </row>
    <row r="63" spans="1:14" ht="12.75">
      <c r="A63" s="930" t="s">
        <v>828</v>
      </c>
      <c r="B63" s="934" t="s">
        <v>806</v>
      </c>
      <c r="C63" s="935" t="s">
        <v>807</v>
      </c>
      <c r="D63" s="935" t="s">
        <v>850</v>
      </c>
      <c r="E63" s="935" t="s">
        <v>853</v>
      </c>
      <c r="F63" s="935" t="s">
        <v>824</v>
      </c>
      <c r="G63" s="935" t="s">
        <v>42</v>
      </c>
      <c r="H63" s="942"/>
      <c r="I63" s="912"/>
      <c r="J63" s="935" t="s">
        <v>824</v>
      </c>
      <c r="K63" s="935" t="s">
        <v>42</v>
      </c>
      <c r="L63" s="940">
        <f>L64+L68+L75</f>
        <v>136.6</v>
      </c>
      <c r="M63" s="940">
        <f>M64+M68+M76</f>
        <v>232.5</v>
      </c>
      <c r="N63" s="940">
        <f>N64+N68+N76</f>
        <v>232.5</v>
      </c>
    </row>
    <row r="64" spans="1:14" ht="19.5">
      <c r="A64" s="930" t="s">
        <v>813</v>
      </c>
      <c r="B64" s="934" t="s">
        <v>806</v>
      </c>
      <c r="C64" s="935" t="s">
        <v>807</v>
      </c>
      <c r="D64" s="935" t="s">
        <v>850</v>
      </c>
      <c r="E64" s="935" t="s">
        <v>853</v>
      </c>
      <c r="F64" s="935" t="s">
        <v>824</v>
      </c>
      <c r="G64" s="935" t="s">
        <v>814</v>
      </c>
      <c r="H64" s="942"/>
      <c r="I64" s="912"/>
      <c r="J64" s="935" t="s">
        <v>824</v>
      </c>
      <c r="K64" s="935" t="s">
        <v>814</v>
      </c>
      <c r="L64" s="940">
        <f>L65+L67</f>
        <v>121.9</v>
      </c>
      <c r="M64" s="940">
        <f>M65+M67+M66</f>
        <v>222.5</v>
      </c>
      <c r="N64" s="940">
        <f>N65+N67+N66</f>
        <v>222.5</v>
      </c>
    </row>
    <row r="65" spans="1:14" ht="12.75">
      <c r="A65" s="930" t="s">
        <v>815</v>
      </c>
      <c r="B65" s="934" t="s">
        <v>806</v>
      </c>
      <c r="C65" s="935" t="s">
        <v>807</v>
      </c>
      <c r="D65" s="935" t="s">
        <v>850</v>
      </c>
      <c r="E65" s="935" t="s">
        <v>853</v>
      </c>
      <c r="F65" s="935" t="s">
        <v>824</v>
      </c>
      <c r="G65" s="935" t="s">
        <v>816</v>
      </c>
      <c r="H65" s="942"/>
      <c r="I65" s="912"/>
      <c r="J65" s="935" t="s">
        <v>824</v>
      </c>
      <c r="K65" s="935" t="s">
        <v>816</v>
      </c>
      <c r="L65" s="937">
        <v>80.22</v>
      </c>
      <c r="M65" s="937">
        <v>165</v>
      </c>
      <c r="N65" s="937">
        <v>165</v>
      </c>
    </row>
    <row r="66" spans="1:14" ht="12.75">
      <c r="A66" s="930" t="s">
        <v>817</v>
      </c>
      <c r="B66" s="934" t="s">
        <v>806</v>
      </c>
      <c r="C66" s="935" t="s">
        <v>807</v>
      </c>
      <c r="D66" s="935" t="s">
        <v>850</v>
      </c>
      <c r="E66" s="935" t="s">
        <v>853</v>
      </c>
      <c r="F66" s="935" t="s">
        <v>824</v>
      </c>
      <c r="G66" s="935" t="s">
        <v>818</v>
      </c>
      <c r="H66" s="942"/>
      <c r="I66" s="912"/>
      <c r="J66" s="935" t="s">
        <v>824</v>
      </c>
      <c r="K66" s="935" t="s">
        <v>818</v>
      </c>
      <c r="L66" s="937"/>
      <c r="M66" s="937">
        <v>1</v>
      </c>
      <c r="N66" s="937">
        <v>1</v>
      </c>
    </row>
    <row r="67" spans="1:14" ht="12.75">
      <c r="A67" s="930" t="s">
        <v>819</v>
      </c>
      <c r="B67" s="934" t="s">
        <v>806</v>
      </c>
      <c r="C67" s="935" t="s">
        <v>807</v>
      </c>
      <c r="D67" s="935" t="s">
        <v>850</v>
      </c>
      <c r="E67" s="935" t="s">
        <v>853</v>
      </c>
      <c r="F67" s="935" t="s">
        <v>824</v>
      </c>
      <c r="G67" s="935" t="s">
        <v>820</v>
      </c>
      <c r="H67" s="942"/>
      <c r="I67" s="912"/>
      <c r="J67" s="935" t="s">
        <v>824</v>
      </c>
      <c r="K67" s="935" t="s">
        <v>820</v>
      </c>
      <c r="L67" s="937">
        <v>41.68</v>
      </c>
      <c r="M67" s="937">
        <v>56.5</v>
      </c>
      <c r="N67" s="937">
        <v>56.5</v>
      </c>
    </row>
    <row r="68" spans="1:14" ht="13.5" customHeight="1">
      <c r="A68" s="930" t="s">
        <v>834</v>
      </c>
      <c r="B68" s="934" t="s">
        <v>806</v>
      </c>
      <c r="C68" s="935" t="s">
        <v>807</v>
      </c>
      <c r="D68" s="935" t="s">
        <v>850</v>
      </c>
      <c r="E68" s="935" t="s">
        <v>853</v>
      </c>
      <c r="F68" s="935" t="s">
        <v>824</v>
      </c>
      <c r="G68" s="935" t="s">
        <v>835</v>
      </c>
      <c r="H68" s="942"/>
      <c r="I68" s="912"/>
      <c r="J68" s="935" t="s">
        <v>824</v>
      </c>
      <c r="K68" s="935" t="s">
        <v>835</v>
      </c>
      <c r="L68" s="940">
        <f>L69+L70+L71+L72+L73+L74</f>
        <v>14.7</v>
      </c>
      <c r="M68" s="940">
        <f>M69+M70</f>
        <v>6</v>
      </c>
      <c r="N68" s="940">
        <f>N69+N70</f>
        <v>6</v>
      </c>
    </row>
    <row r="69" spans="1:14" ht="12" customHeight="1">
      <c r="A69" s="930" t="s">
        <v>77</v>
      </c>
      <c r="B69" s="934" t="s">
        <v>806</v>
      </c>
      <c r="C69" s="935" t="s">
        <v>807</v>
      </c>
      <c r="D69" s="935" t="s">
        <v>850</v>
      </c>
      <c r="E69" s="935" t="s">
        <v>853</v>
      </c>
      <c r="F69" s="935" t="s">
        <v>824</v>
      </c>
      <c r="G69" s="935" t="s">
        <v>836</v>
      </c>
      <c r="H69" s="942"/>
      <c r="I69" s="912"/>
      <c r="J69" s="935" t="s">
        <v>824</v>
      </c>
      <c r="K69" s="935" t="s">
        <v>836</v>
      </c>
      <c r="L69" s="937">
        <v>3.7</v>
      </c>
      <c r="M69" s="937">
        <v>3</v>
      </c>
      <c r="N69" s="937">
        <v>3</v>
      </c>
    </row>
    <row r="70" spans="1:14" ht="12.75" customHeight="1">
      <c r="A70" s="930" t="s">
        <v>837</v>
      </c>
      <c r="B70" s="934" t="s">
        <v>806</v>
      </c>
      <c r="C70" s="935" t="s">
        <v>807</v>
      </c>
      <c r="D70" s="935" t="s">
        <v>850</v>
      </c>
      <c r="E70" s="935" t="s">
        <v>853</v>
      </c>
      <c r="F70" s="935" t="s">
        <v>824</v>
      </c>
      <c r="G70" s="935" t="s">
        <v>838</v>
      </c>
      <c r="H70" s="942"/>
      <c r="I70" s="912"/>
      <c r="J70" s="935" t="s">
        <v>824</v>
      </c>
      <c r="K70" s="935" t="s">
        <v>838</v>
      </c>
      <c r="L70" s="937">
        <v>4.2</v>
      </c>
      <c r="M70" s="937">
        <v>3</v>
      </c>
      <c r="N70" s="937">
        <v>3</v>
      </c>
    </row>
    <row r="71" spans="1:14" ht="12.75" customHeight="1">
      <c r="A71" s="930" t="s">
        <v>79</v>
      </c>
      <c r="B71" s="934" t="s">
        <v>806</v>
      </c>
      <c r="C71" s="935" t="s">
        <v>807</v>
      </c>
      <c r="D71" s="935" t="s">
        <v>850</v>
      </c>
      <c r="E71" s="935" t="s">
        <v>853</v>
      </c>
      <c r="F71" s="935" t="s">
        <v>824</v>
      </c>
      <c r="G71" s="935" t="s">
        <v>839</v>
      </c>
      <c r="H71" s="942"/>
      <c r="I71" s="912"/>
      <c r="J71" s="935" t="s">
        <v>824</v>
      </c>
      <c r="K71" s="935" t="s">
        <v>839</v>
      </c>
      <c r="L71" s="937">
        <v>4.8</v>
      </c>
      <c r="M71" s="937"/>
      <c r="N71" s="937"/>
    </row>
    <row r="72" spans="1:14" ht="12" customHeight="1">
      <c r="A72" s="929" t="s">
        <v>80</v>
      </c>
      <c r="B72" s="934" t="s">
        <v>806</v>
      </c>
      <c r="C72" s="935" t="s">
        <v>807</v>
      </c>
      <c r="D72" s="935" t="s">
        <v>850</v>
      </c>
      <c r="E72" s="935" t="s">
        <v>853</v>
      </c>
      <c r="F72" s="935" t="s">
        <v>824</v>
      </c>
      <c r="G72" s="935" t="s">
        <v>854</v>
      </c>
      <c r="H72" s="942"/>
      <c r="I72" s="912"/>
      <c r="J72" s="935" t="s">
        <v>824</v>
      </c>
      <c r="K72" s="935" t="s">
        <v>854</v>
      </c>
      <c r="L72" s="937">
        <v>2</v>
      </c>
      <c r="M72" s="937"/>
      <c r="N72" s="937"/>
    </row>
    <row r="73" spans="1:14" ht="12.75">
      <c r="A73" s="930" t="s">
        <v>841</v>
      </c>
      <c r="B73" s="934" t="s">
        <v>806</v>
      </c>
      <c r="C73" s="935" t="s">
        <v>807</v>
      </c>
      <c r="D73" s="935" t="s">
        <v>850</v>
      </c>
      <c r="E73" s="935" t="s">
        <v>853</v>
      </c>
      <c r="F73" s="935" t="s">
        <v>824</v>
      </c>
      <c r="G73" s="935" t="s">
        <v>840</v>
      </c>
      <c r="H73" s="942"/>
      <c r="I73" s="912"/>
      <c r="J73" s="935" t="s">
        <v>824</v>
      </c>
      <c r="K73" s="935" t="s">
        <v>840</v>
      </c>
      <c r="L73" s="937">
        <f>'свод бюджет'!K30</f>
        <v>0</v>
      </c>
      <c r="M73" s="937"/>
      <c r="N73" s="937"/>
    </row>
    <row r="74" spans="1:14" ht="12.75" customHeight="1">
      <c r="A74" s="930" t="s">
        <v>855</v>
      </c>
      <c r="B74" s="934" t="s">
        <v>806</v>
      </c>
      <c r="C74" s="935" t="s">
        <v>807</v>
      </c>
      <c r="D74" s="935" t="s">
        <v>850</v>
      </c>
      <c r="E74" s="935" t="s">
        <v>853</v>
      </c>
      <c r="F74" s="935" t="s">
        <v>824</v>
      </c>
      <c r="G74" s="935" t="s">
        <v>842</v>
      </c>
      <c r="H74" s="942"/>
      <c r="I74" s="912"/>
      <c r="J74" s="935" t="s">
        <v>824</v>
      </c>
      <c r="K74" s="935" t="s">
        <v>842</v>
      </c>
      <c r="L74" s="937"/>
      <c r="M74" s="937"/>
      <c r="N74" s="937"/>
    </row>
    <row r="75" spans="1:14" ht="12.75" customHeight="1">
      <c r="A75" s="929" t="s">
        <v>829</v>
      </c>
      <c r="B75" s="934" t="s">
        <v>806</v>
      </c>
      <c r="C75" s="935" t="s">
        <v>807</v>
      </c>
      <c r="D75" s="935" t="s">
        <v>850</v>
      </c>
      <c r="E75" s="935" t="s">
        <v>853</v>
      </c>
      <c r="F75" s="935" t="s">
        <v>824</v>
      </c>
      <c r="G75" s="935" t="s">
        <v>830</v>
      </c>
      <c r="H75" s="942"/>
      <c r="I75" s="912"/>
      <c r="J75" s="935" t="s">
        <v>824</v>
      </c>
      <c r="K75" s="935" t="s">
        <v>830</v>
      </c>
      <c r="L75" s="937"/>
      <c r="M75" s="937"/>
      <c r="N75" s="937"/>
    </row>
    <row r="76" spans="1:14" ht="12" customHeight="1">
      <c r="A76" s="930" t="s">
        <v>845</v>
      </c>
      <c r="B76" s="934" t="s">
        <v>806</v>
      </c>
      <c r="C76" s="935" t="s">
        <v>807</v>
      </c>
      <c r="D76" s="935" t="s">
        <v>850</v>
      </c>
      <c r="E76" s="935" t="s">
        <v>853</v>
      </c>
      <c r="F76" s="935" t="s">
        <v>824</v>
      </c>
      <c r="G76" s="935" t="s">
        <v>846</v>
      </c>
      <c r="H76" s="942"/>
      <c r="I76" s="912"/>
      <c r="J76" s="935" t="s">
        <v>824</v>
      </c>
      <c r="K76" s="935" t="s">
        <v>846</v>
      </c>
      <c r="L76" s="940">
        <f>L78</f>
        <v>3.5</v>
      </c>
      <c r="M76" s="940">
        <f>M78</f>
        <v>4</v>
      </c>
      <c r="N76" s="940">
        <f>N78</f>
        <v>4</v>
      </c>
    </row>
    <row r="77" spans="1:14" ht="17.25" customHeight="1">
      <c r="A77" s="930" t="s">
        <v>90</v>
      </c>
      <c r="B77" s="934" t="s">
        <v>806</v>
      </c>
      <c r="C77" s="935" t="s">
        <v>807</v>
      </c>
      <c r="D77" s="935" t="s">
        <v>850</v>
      </c>
      <c r="E77" s="935" t="s">
        <v>853</v>
      </c>
      <c r="F77" s="935" t="s">
        <v>824</v>
      </c>
      <c r="G77" s="935" t="s">
        <v>847</v>
      </c>
      <c r="H77" s="942"/>
      <c r="I77" s="912"/>
      <c r="J77" s="935" t="s">
        <v>824</v>
      </c>
      <c r="K77" s="935" t="s">
        <v>847</v>
      </c>
      <c r="L77" s="937"/>
      <c r="M77" s="937"/>
      <c r="N77" s="937"/>
    </row>
    <row r="78" spans="1:14" ht="13.5" customHeight="1">
      <c r="A78" s="930" t="s">
        <v>91</v>
      </c>
      <c r="B78" s="934" t="s">
        <v>806</v>
      </c>
      <c r="C78" s="935" t="s">
        <v>807</v>
      </c>
      <c r="D78" s="935" t="s">
        <v>850</v>
      </c>
      <c r="E78" s="935" t="s">
        <v>853</v>
      </c>
      <c r="F78" s="935" t="s">
        <v>824</v>
      </c>
      <c r="G78" s="935" t="s">
        <v>848</v>
      </c>
      <c r="H78" s="942"/>
      <c r="I78" s="912"/>
      <c r="J78" s="935" t="s">
        <v>824</v>
      </c>
      <c r="K78" s="935" t="s">
        <v>848</v>
      </c>
      <c r="L78" s="937">
        <v>3.5</v>
      </c>
      <c r="M78" s="937">
        <v>4</v>
      </c>
      <c r="N78" s="937">
        <v>4</v>
      </c>
    </row>
    <row r="79" spans="1:14" ht="18.75">
      <c r="A79" s="943" t="s">
        <v>1212</v>
      </c>
      <c r="B79" s="944" t="s">
        <v>806</v>
      </c>
      <c r="C79" s="945" t="s">
        <v>850</v>
      </c>
      <c r="D79" s="945" t="s">
        <v>802</v>
      </c>
      <c r="E79" s="945" t="s">
        <v>803</v>
      </c>
      <c r="F79" s="945" t="s">
        <v>804</v>
      </c>
      <c r="G79" s="945" t="s">
        <v>804</v>
      </c>
      <c r="H79" s="946"/>
      <c r="I79" s="947"/>
      <c r="J79" s="945" t="s">
        <v>804</v>
      </c>
      <c r="K79" s="945" t="s">
        <v>804</v>
      </c>
      <c r="L79" s="952">
        <f>L80+L96+L95+L89</f>
        <v>0</v>
      </c>
      <c r="M79" s="952">
        <f>M80+M96</f>
        <v>240</v>
      </c>
      <c r="N79" s="952">
        <f>N80+N96</f>
        <v>240</v>
      </c>
    </row>
    <row r="80" spans="1:14" ht="29.25" customHeight="1">
      <c r="A80" s="953" t="s">
        <v>1192</v>
      </c>
      <c r="B80" s="934" t="s">
        <v>806</v>
      </c>
      <c r="C80" s="935" t="s">
        <v>850</v>
      </c>
      <c r="D80" s="935" t="s">
        <v>864</v>
      </c>
      <c r="E80" s="935" t="s">
        <v>1205</v>
      </c>
      <c r="F80" s="935" t="s">
        <v>258</v>
      </c>
      <c r="G80" s="935" t="s">
        <v>804</v>
      </c>
      <c r="H80" s="942"/>
      <c r="I80" s="912"/>
      <c r="J80" s="935" t="s">
        <v>259</v>
      </c>
      <c r="K80" s="935" t="s">
        <v>804</v>
      </c>
      <c r="L80" s="1102">
        <f>L81+L93</f>
        <v>0</v>
      </c>
      <c r="M80" s="937"/>
      <c r="N80" s="937"/>
    </row>
    <row r="81" spans="1:14" ht="12.75">
      <c r="A81" s="930" t="s">
        <v>828</v>
      </c>
      <c r="B81" s="934" t="s">
        <v>806</v>
      </c>
      <c r="C81" s="935" t="s">
        <v>850</v>
      </c>
      <c r="D81" s="935" t="s">
        <v>864</v>
      </c>
      <c r="E81" s="935" t="s">
        <v>1205</v>
      </c>
      <c r="F81" s="935" t="s">
        <v>258</v>
      </c>
      <c r="G81" s="935" t="s">
        <v>42</v>
      </c>
      <c r="H81" s="942"/>
      <c r="I81" s="912"/>
      <c r="J81" s="935" t="s">
        <v>259</v>
      </c>
      <c r="K81" s="935" t="s">
        <v>42</v>
      </c>
      <c r="L81" s="1102">
        <f>L82+L86+L90+L92</f>
        <v>0</v>
      </c>
      <c r="M81" s="937"/>
      <c r="N81" s="937"/>
    </row>
    <row r="82" spans="1:14" ht="21" customHeight="1">
      <c r="A82" s="930" t="s">
        <v>813</v>
      </c>
      <c r="B82" s="934" t="s">
        <v>806</v>
      </c>
      <c r="C82" s="935" t="s">
        <v>850</v>
      </c>
      <c r="D82" s="935" t="s">
        <v>864</v>
      </c>
      <c r="E82" s="935" t="s">
        <v>1205</v>
      </c>
      <c r="F82" s="935" t="s">
        <v>258</v>
      </c>
      <c r="G82" s="935" t="s">
        <v>814</v>
      </c>
      <c r="H82" s="942"/>
      <c r="I82" s="912"/>
      <c r="J82" s="935" t="s">
        <v>259</v>
      </c>
      <c r="K82" s="935" t="s">
        <v>814</v>
      </c>
      <c r="L82" s="1102"/>
      <c r="M82" s="937"/>
      <c r="N82" s="937"/>
    </row>
    <row r="83" spans="1:14" ht="21.75" customHeight="1">
      <c r="A83" s="930" t="s">
        <v>815</v>
      </c>
      <c r="B83" s="934" t="s">
        <v>806</v>
      </c>
      <c r="C83" s="935" t="s">
        <v>850</v>
      </c>
      <c r="D83" s="935" t="s">
        <v>864</v>
      </c>
      <c r="E83" s="935" t="s">
        <v>1205</v>
      </c>
      <c r="F83" s="935" t="s">
        <v>258</v>
      </c>
      <c r="G83" s="935" t="s">
        <v>816</v>
      </c>
      <c r="H83" s="942"/>
      <c r="I83" s="912"/>
      <c r="J83" s="935" t="s">
        <v>259</v>
      </c>
      <c r="K83" s="935" t="s">
        <v>816</v>
      </c>
      <c r="L83" s="1102"/>
      <c r="M83" s="937"/>
      <c r="N83" s="937"/>
    </row>
    <row r="84" spans="1:14" ht="12" customHeight="1">
      <c r="A84" s="930" t="s">
        <v>856</v>
      </c>
      <c r="B84" s="934" t="s">
        <v>806</v>
      </c>
      <c r="C84" s="935" t="s">
        <v>850</v>
      </c>
      <c r="D84" s="935" t="s">
        <v>864</v>
      </c>
      <c r="E84" s="935" t="s">
        <v>1205</v>
      </c>
      <c r="F84" s="935" t="s">
        <v>258</v>
      </c>
      <c r="G84" s="935" t="s">
        <v>818</v>
      </c>
      <c r="H84" s="942"/>
      <c r="I84" s="912"/>
      <c r="J84" s="935" t="s">
        <v>259</v>
      </c>
      <c r="K84" s="935" t="s">
        <v>818</v>
      </c>
      <c r="L84" s="1102"/>
      <c r="M84" s="937"/>
      <c r="N84" s="937"/>
    </row>
    <row r="85" spans="1:14" ht="12.75">
      <c r="A85" s="930" t="s">
        <v>819</v>
      </c>
      <c r="B85" s="934" t="s">
        <v>806</v>
      </c>
      <c r="C85" s="935" t="s">
        <v>850</v>
      </c>
      <c r="D85" s="935" t="s">
        <v>864</v>
      </c>
      <c r="E85" s="935" t="s">
        <v>1205</v>
      </c>
      <c r="F85" s="935" t="s">
        <v>258</v>
      </c>
      <c r="G85" s="935" t="s">
        <v>820</v>
      </c>
      <c r="H85" s="942"/>
      <c r="I85" s="912"/>
      <c r="J85" s="935" t="s">
        <v>259</v>
      </c>
      <c r="K85" s="935" t="s">
        <v>820</v>
      </c>
      <c r="L85" s="1102"/>
      <c r="M85" s="937"/>
      <c r="N85" s="937"/>
    </row>
    <row r="86" spans="1:14" ht="12.75" customHeight="1">
      <c r="A86" s="930" t="s">
        <v>857</v>
      </c>
      <c r="B86" s="934" t="s">
        <v>806</v>
      </c>
      <c r="C86" s="935" t="s">
        <v>850</v>
      </c>
      <c r="D86" s="935" t="s">
        <v>864</v>
      </c>
      <c r="E86" s="935" t="s">
        <v>1205</v>
      </c>
      <c r="F86" s="935" t="s">
        <v>258</v>
      </c>
      <c r="G86" s="935" t="s">
        <v>835</v>
      </c>
      <c r="H86" s="942"/>
      <c r="I86" s="912"/>
      <c r="J86" s="935" t="s">
        <v>259</v>
      </c>
      <c r="K86" s="935" t="s">
        <v>835</v>
      </c>
      <c r="L86" s="1102"/>
      <c r="M86" s="937"/>
      <c r="N86" s="937"/>
    </row>
    <row r="87" spans="1:14" ht="10.5" customHeight="1">
      <c r="A87" s="930" t="s">
        <v>837</v>
      </c>
      <c r="B87" s="934" t="s">
        <v>806</v>
      </c>
      <c r="C87" s="935" t="s">
        <v>850</v>
      </c>
      <c r="D87" s="935" t="s">
        <v>864</v>
      </c>
      <c r="E87" s="935" t="s">
        <v>1205</v>
      </c>
      <c r="F87" s="935" t="s">
        <v>258</v>
      </c>
      <c r="G87" s="935" t="s">
        <v>838</v>
      </c>
      <c r="H87" s="942"/>
      <c r="I87" s="912"/>
      <c r="J87" s="935" t="s">
        <v>259</v>
      </c>
      <c r="K87" s="935" t="s">
        <v>838</v>
      </c>
      <c r="L87" s="1102"/>
      <c r="M87" s="937"/>
      <c r="N87" s="937"/>
    </row>
    <row r="88" spans="1:14" ht="12.75">
      <c r="A88" s="930" t="s">
        <v>841</v>
      </c>
      <c r="B88" s="934" t="s">
        <v>806</v>
      </c>
      <c r="C88" s="935" t="s">
        <v>850</v>
      </c>
      <c r="D88" s="935" t="s">
        <v>864</v>
      </c>
      <c r="E88" s="935" t="s">
        <v>1205</v>
      </c>
      <c r="F88" s="935" t="s">
        <v>258</v>
      </c>
      <c r="G88" s="935" t="s">
        <v>840</v>
      </c>
      <c r="H88" s="942"/>
      <c r="I88" s="912"/>
      <c r="J88" s="935" t="s">
        <v>259</v>
      </c>
      <c r="K88" s="935" t="s">
        <v>840</v>
      </c>
      <c r="L88" s="937">
        <v>0</v>
      </c>
      <c r="M88" s="937"/>
      <c r="N88" s="937"/>
    </row>
    <row r="89" spans="1:14" ht="16.5" customHeight="1">
      <c r="A89" s="930" t="s">
        <v>855</v>
      </c>
      <c r="B89" s="934" t="s">
        <v>806</v>
      </c>
      <c r="C89" s="935" t="s">
        <v>850</v>
      </c>
      <c r="D89" s="935" t="s">
        <v>864</v>
      </c>
      <c r="E89" s="935" t="s">
        <v>1205</v>
      </c>
      <c r="F89" s="935" t="s">
        <v>258</v>
      </c>
      <c r="G89" s="935" t="s">
        <v>842</v>
      </c>
      <c r="H89" s="942"/>
      <c r="I89" s="912"/>
      <c r="J89" s="935" t="s">
        <v>259</v>
      </c>
      <c r="K89" s="935" t="s">
        <v>842</v>
      </c>
      <c r="L89" s="937">
        <v>0</v>
      </c>
      <c r="M89" s="937"/>
      <c r="N89" s="937"/>
    </row>
    <row r="90" spans="1:14" ht="17.25" customHeight="1">
      <c r="A90" s="930" t="s">
        <v>1201</v>
      </c>
      <c r="B90" s="934" t="s">
        <v>806</v>
      </c>
      <c r="C90" s="935" t="s">
        <v>850</v>
      </c>
      <c r="D90" s="935" t="s">
        <v>864</v>
      </c>
      <c r="E90" s="935" t="s">
        <v>1205</v>
      </c>
      <c r="F90" s="935" t="s">
        <v>258</v>
      </c>
      <c r="G90" s="935"/>
      <c r="H90" s="942"/>
      <c r="I90" s="912"/>
      <c r="J90" s="935"/>
      <c r="K90" s="935" t="s">
        <v>53</v>
      </c>
      <c r="L90" s="1102">
        <f>L91</f>
        <v>0</v>
      </c>
      <c r="M90" s="937"/>
      <c r="N90" s="937"/>
    </row>
    <row r="91" spans="1:14" ht="17.25" customHeight="1">
      <c r="A91" s="930" t="s">
        <v>1206</v>
      </c>
      <c r="B91" s="934" t="s">
        <v>806</v>
      </c>
      <c r="C91" s="935" t="s">
        <v>850</v>
      </c>
      <c r="D91" s="935" t="s">
        <v>864</v>
      </c>
      <c r="E91" s="935" t="s">
        <v>1205</v>
      </c>
      <c r="F91" s="935" t="s">
        <v>258</v>
      </c>
      <c r="G91" s="935"/>
      <c r="H91" s="942"/>
      <c r="I91" s="912"/>
      <c r="J91" s="935"/>
      <c r="K91" s="935" t="s">
        <v>870</v>
      </c>
      <c r="L91" s="1102">
        <v>0</v>
      </c>
      <c r="M91" s="937"/>
      <c r="N91" s="937"/>
    </row>
    <row r="92" spans="1:14" ht="17.25" customHeight="1">
      <c r="A92" s="929" t="s">
        <v>829</v>
      </c>
      <c r="B92" s="934" t="s">
        <v>806</v>
      </c>
      <c r="C92" s="935" t="s">
        <v>850</v>
      </c>
      <c r="D92" s="935" t="s">
        <v>864</v>
      </c>
      <c r="E92" s="935" t="s">
        <v>1205</v>
      </c>
      <c r="F92" s="935" t="s">
        <v>258</v>
      </c>
      <c r="G92" s="935" t="s">
        <v>830</v>
      </c>
      <c r="H92" s="942"/>
      <c r="I92" s="912"/>
      <c r="J92" s="935" t="s">
        <v>259</v>
      </c>
      <c r="K92" s="935" t="s">
        <v>830</v>
      </c>
      <c r="L92" s="937"/>
      <c r="M92" s="937"/>
      <c r="N92" s="937"/>
    </row>
    <row r="93" spans="1:14" ht="18" customHeight="1">
      <c r="A93" s="930" t="s">
        <v>858</v>
      </c>
      <c r="B93" s="934" t="s">
        <v>806</v>
      </c>
      <c r="C93" s="935" t="s">
        <v>850</v>
      </c>
      <c r="D93" s="935" t="s">
        <v>864</v>
      </c>
      <c r="E93" s="935" t="s">
        <v>1205</v>
      </c>
      <c r="F93" s="935" t="s">
        <v>258</v>
      </c>
      <c r="G93" s="935" t="s">
        <v>846</v>
      </c>
      <c r="H93" s="942"/>
      <c r="I93" s="912"/>
      <c r="J93" s="935" t="s">
        <v>259</v>
      </c>
      <c r="K93" s="935" t="s">
        <v>846</v>
      </c>
      <c r="L93" s="937"/>
      <c r="M93" s="937"/>
      <c r="N93" s="937"/>
    </row>
    <row r="94" spans="1:14" ht="17.25" customHeight="1">
      <c r="A94" s="930" t="s">
        <v>90</v>
      </c>
      <c r="B94" s="934" t="s">
        <v>806</v>
      </c>
      <c r="C94" s="935" t="s">
        <v>850</v>
      </c>
      <c r="D94" s="935" t="s">
        <v>864</v>
      </c>
      <c r="E94" s="935" t="s">
        <v>1205</v>
      </c>
      <c r="F94" s="935" t="s">
        <v>258</v>
      </c>
      <c r="G94" s="935" t="s">
        <v>847</v>
      </c>
      <c r="H94" s="942"/>
      <c r="I94" s="912"/>
      <c r="J94" s="935" t="s">
        <v>259</v>
      </c>
      <c r="K94" s="935" t="s">
        <v>847</v>
      </c>
      <c r="L94" s="937"/>
      <c r="M94" s="937"/>
      <c r="N94" s="937"/>
    </row>
    <row r="95" spans="1:14" ht="12.75">
      <c r="A95" s="930" t="s">
        <v>91</v>
      </c>
      <c r="B95" s="934" t="s">
        <v>806</v>
      </c>
      <c r="C95" s="935" t="s">
        <v>850</v>
      </c>
      <c r="D95" s="935" t="s">
        <v>864</v>
      </c>
      <c r="E95" s="935" t="s">
        <v>1205</v>
      </c>
      <c r="F95" s="935" t="s">
        <v>258</v>
      </c>
      <c r="G95" s="935" t="s">
        <v>848</v>
      </c>
      <c r="H95" s="942"/>
      <c r="I95" s="912"/>
      <c r="J95" s="935" t="s">
        <v>259</v>
      </c>
      <c r="K95" s="935" t="s">
        <v>848</v>
      </c>
      <c r="L95" s="937">
        <v>0</v>
      </c>
      <c r="M95" s="937"/>
      <c r="N95" s="937"/>
    </row>
    <row r="96" spans="1:14" ht="12" customHeight="1">
      <c r="A96" s="1114" t="s">
        <v>1158</v>
      </c>
      <c r="B96" s="1115" t="s">
        <v>806</v>
      </c>
      <c r="C96" s="1116" t="s">
        <v>850</v>
      </c>
      <c r="D96" s="1116" t="s">
        <v>859</v>
      </c>
      <c r="E96" s="1116" t="s">
        <v>860</v>
      </c>
      <c r="F96" s="1116" t="s">
        <v>824</v>
      </c>
      <c r="G96" s="1116" t="s">
        <v>804</v>
      </c>
      <c r="H96" s="1117"/>
      <c r="I96" s="1118"/>
      <c r="J96" s="1116" t="s">
        <v>260</v>
      </c>
      <c r="K96" s="1116" t="s">
        <v>804</v>
      </c>
      <c r="L96" s="1119">
        <v>0</v>
      </c>
      <c r="M96" s="954">
        <f>M102+M106+M107</f>
        <v>240</v>
      </c>
      <c r="N96" s="954">
        <f>N102+N106+N107</f>
        <v>240</v>
      </c>
    </row>
    <row r="97" spans="1:14" ht="13.5" customHeight="1">
      <c r="A97" s="930" t="s">
        <v>828</v>
      </c>
      <c r="B97" s="934" t="s">
        <v>806</v>
      </c>
      <c r="C97" s="935" t="s">
        <v>850</v>
      </c>
      <c r="D97" s="935" t="s">
        <v>859</v>
      </c>
      <c r="E97" s="935" t="s">
        <v>860</v>
      </c>
      <c r="F97" s="935" t="s">
        <v>824</v>
      </c>
      <c r="G97" s="935" t="s">
        <v>42</v>
      </c>
      <c r="H97" s="942"/>
      <c r="I97" s="912"/>
      <c r="J97" s="935" t="s">
        <v>260</v>
      </c>
      <c r="K97" s="935" t="s">
        <v>42</v>
      </c>
      <c r="L97" s="937">
        <v>0</v>
      </c>
      <c r="M97" s="937">
        <f>M102+M107</f>
        <v>240</v>
      </c>
      <c r="N97" s="937">
        <f>N102+N107</f>
        <v>240</v>
      </c>
    </row>
    <row r="98" spans="1:14" ht="21.75" customHeight="1">
      <c r="A98" s="930" t="s">
        <v>813</v>
      </c>
      <c r="B98" s="934" t="s">
        <v>806</v>
      </c>
      <c r="C98" s="935" t="s">
        <v>850</v>
      </c>
      <c r="D98" s="935" t="s">
        <v>859</v>
      </c>
      <c r="E98" s="935" t="s">
        <v>860</v>
      </c>
      <c r="F98" s="935" t="s">
        <v>824</v>
      </c>
      <c r="G98" s="935" t="s">
        <v>814</v>
      </c>
      <c r="H98" s="942"/>
      <c r="I98" s="912"/>
      <c r="J98" s="935" t="s">
        <v>260</v>
      </c>
      <c r="K98" s="935" t="s">
        <v>814</v>
      </c>
      <c r="L98" s="937"/>
      <c r="M98" s="937"/>
      <c r="N98" s="937"/>
    </row>
    <row r="99" spans="1:14" ht="16.5" customHeight="1">
      <c r="A99" s="930" t="s">
        <v>815</v>
      </c>
      <c r="B99" s="934" t="s">
        <v>806</v>
      </c>
      <c r="C99" s="935" t="s">
        <v>850</v>
      </c>
      <c r="D99" s="935" t="s">
        <v>859</v>
      </c>
      <c r="E99" s="935" t="s">
        <v>860</v>
      </c>
      <c r="F99" s="935" t="s">
        <v>824</v>
      </c>
      <c r="G99" s="935" t="s">
        <v>816</v>
      </c>
      <c r="H99" s="942"/>
      <c r="I99" s="912"/>
      <c r="J99" s="935" t="s">
        <v>260</v>
      </c>
      <c r="K99" s="935" t="s">
        <v>816</v>
      </c>
      <c r="L99" s="937"/>
      <c r="M99" s="937"/>
      <c r="N99" s="937"/>
    </row>
    <row r="100" spans="1:14" ht="16.5" customHeight="1">
      <c r="A100" s="930" t="s">
        <v>856</v>
      </c>
      <c r="B100" s="934" t="s">
        <v>806</v>
      </c>
      <c r="C100" s="935" t="s">
        <v>850</v>
      </c>
      <c r="D100" s="935" t="s">
        <v>859</v>
      </c>
      <c r="E100" s="935" t="s">
        <v>860</v>
      </c>
      <c r="F100" s="935" t="s">
        <v>824</v>
      </c>
      <c r="G100" s="935" t="s">
        <v>818</v>
      </c>
      <c r="H100" s="942"/>
      <c r="I100" s="912"/>
      <c r="J100" s="935" t="s">
        <v>260</v>
      </c>
      <c r="K100" s="935" t="s">
        <v>818</v>
      </c>
      <c r="L100" s="937"/>
      <c r="M100" s="937"/>
      <c r="N100" s="937"/>
    </row>
    <row r="101" spans="1:14" ht="21.75" customHeight="1">
      <c r="A101" s="930" t="s">
        <v>819</v>
      </c>
      <c r="B101" s="934" t="s">
        <v>806</v>
      </c>
      <c r="C101" s="935" t="s">
        <v>850</v>
      </c>
      <c r="D101" s="935" t="s">
        <v>859</v>
      </c>
      <c r="E101" s="935" t="s">
        <v>860</v>
      </c>
      <c r="F101" s="935" t="s">
        <v>824</v>
      </c>
      <c r="G101" s="935" t="s">
        <v>820</v>
      </c>
      <c r="H101" s="942"/>
      <c r="I101" s="912"/>
      <c r="J101" s="935" t="s">
        <v>260</v>
      </c>
      <c r="K101" s="935" t="s">
        <v>820</v>
      </c>
      <c r="L101" s="937"/>
      <c r="M101" s="937"/>
      <c r="N101" s="937"/>
    </row>
    <row r="102" spans="1:14" ht="13.5" customHeight="1">
      <c r="A102" s="930" t="s">
        <v>857</v>
      </c>
      <c r="B102" s="934" t="s">
        <v>806</v>
      </c>
      <c r="C102" s="935" t="s">
        <v>850</v>
      </c>
      <c r="D102" s="935" t="s">
        <v>859</v>
      </c>
      <c r="E102" s="935" t="s">
        <v>860</v>
      </c>
      <c r="F102" s="935" t="s">
        <v>824</v>
      </c>
      <c r="G102" s="935" t="s">
        <v>835</v>
      </c>
      <c r="H102" s="942"/>
      <c r="I102" s="912"/>
      <c r="J102" s="935" t="s">
        <v>260</v>
      </c>
      <c r="K102" s="935" t="s">
        <v>835</v>
      </c>
      <c r="L102" s="940">
        <v>0</v>
      </c>
      <c r="M102" s="940">
        <f>M104+M105</f>
        <v>40</v>
      </c>
      <c r="N102" s="940">
        <f>N104+N105</f>
        <v>40</v>
      </c>
    </row>
    <row r="103" spans="1:14" ht="15" customHeight="1">
      <c r="A103" s="930" t="s">
        <v>837</v>
      </c>
      <c r="B103" s="934" t="s">
        <v>806</v>
      </c>
      <c r="C103" s="935" t="s">
        <v>850</v>
      </c>
      <c r="D103" s="935" t="s">
        <v>859</v>
      </c>
      <c r="E103" s="935" t="s">
        <v>860</v>
      </c>
      <c r="F103" s="935" t="s">
        <v>824</v>
      </c>
      <c r="G103" s="935" t="s">
        <v>838</v>
      </c>
      <c r="H103" s="942"/>
      <c r="I103" s="912"/>
      <c r="J103" s="935" t="s">
        <v>260</v>
      </c>
      <c r="K103" s="935" t="s">
        <v>838</v>
      </c>
      <c r="L103" s="937"/>
      <c r="M103" s="937"/>
      <c r="N103" s="937"/>
    </row>
    <row r="104" spans="1:14" ht="12.75">
      <c r="A104" s="930" t="s">
        <v>841</v>
      </c>
      <c r="B104" s="934" t="s">
        <v>806</v>
      </c>
      <c r="C104" s="935" t="s">
        <v>850</v>
      </c>
      <c r="D104" s="935" t="s">
        <v>859</v>
      </c>
      <c r="E104" s="935" t="s">
        <v>860</v>
      </c>
      <c r="F104" s="935" t="s">
        <v>824</v>
      </c>
      <c r="G104" s="935" t="s">
        <v>840</v>
      </c>
      <c r="H104" s="942"/>
      <c r="I104" s="912"/>
      <c r="J104" s="935" t="s">
        <v>260</v>
      </c>
      <c r="K104" s="935" t="s">
        <v>840</v>
      </c>
      <c r="L104" s="937"/>
      <c r="M104" s="937">
        <v>20</v>
      </c>
      <c r="N104" s="937">
        <v>20</v>
      </c>
    </row>
    <row r="105" spans="1:14" ht="11.25" customHeight="1">
      <c r="A105" s="930" t="s">
        <v>855</v>
      </c>
      <c r="B105" s="934" t="s">
        <v>806</v>
      </c>
      <c r="C105" s="935" t="s">
        <v>850</v>
      </c>
      <c r="D105" s="935" t="s">
        <v>859</v>
      </c>
      <c r="E105" s="935" t="s">
        <v>860</v>
      </c>
      <c r="F105" s="935" t="s">
        <v>824</v>
      </c>
      <c r="G105" s="935" t="s">
        <v>842</v>
      </c>
      <c r="H105" s="942"/>
      <c r="I105" s="912"/>
      <c r="J105" s="935" t="s">
        <v>260</v>
      </c>
      <c r="K105" s="935" t="s">
        <v>842</v>
      </c>
      <c r="L105" s="937">
        <v>0</v>
      </c>
      <c r="M105" s="937">
        <v>20</v>
      </c>
      <c r="N105" s="937">
        <v>20</v>
      </c>
    </row>
    <row r="106" spans="1:14" ht="9.75" customHeight="1">
      <c r="A106" s="929" t="s">
        <v>829</v>
      </c>
      <c r="B106" s="934" t="s">
        <v>806</v>
      </c>
      <c r="C106" s="935" t="s">
        <v>850</v>
      </c>
      <c r="D106" s="935" t="s">
        <v>859</v>
      </c>
      <c r="E106" s="935" t="s">
        <v>860</v>
      </c>
      <c r="F106" s="935" t="s">
        <v>824</v>
      </c>
      <c r="G106" s="935" t="s">
        <v>830</v>
      </c>
      <c r="H106" s="942"/>
      <c r="I106" s="912"/>
      <c r="J106" s="935" t="s">
        <v>260</v>
      </c>
      <c r="K106" s="935" t="s">
        <v>830</v>
      </c>
      <c r="L106" s="937"/>
      <c r="M106" s="937"/>
      <c r="N106" s="937"/>
    </row>
    <row r="107" spans="1:14" ht="12.75" customHeight="1">
      <c r="A107" s="930" t="s">
        <v>845</v>
      </c>
      <c r="B107" s="934" t="s">
        <v>806</v>
      </c>
      <c r="C107" s="935" t="s">
        <v>850</v>
      </c>
      <c r="D107" s="935" t="s">
        <v>859</v>
      </c>
      <c r="E107" s="935" t="s">
        <v>860</v>
      </c>
      <c r="F107" s="935" t="s">
        <v>824</v>
      </c>
      <c r="G107" s="935" t="s">
        <v>846</v>
      </c>
      <c r="H107" s="942"/>
      <c r="I107" s="912"/>
      <c r="J107" s="935" t="s">
        <v>260</v>
      </c>
      <c r="K107" s="935" t="s">
        <v>846</v>
      </c>
      <c r="L107" s="940">
        <v>0</v>
      </c>
      <c r="M107" s="940">
        <f>M109</f>
        <v>200</v>
      </c>
      <c r="N107" s="940">
        <f>N109</f>
        <v>200</v>
      </c>
    </row>
    <row r="108" spans="1:14" ht="15" customHeight="1">
      <c r="A108" s="930" t="s">
        <v>90</v>
      </c>
      <c r="B108" s="934" t="s">
        <v>806</v>
      </c>
      <c r="C108" s="935" t="s">
        <v>850</v>
      </c>
      <c r="D108" s="935" t="s">
        <v>859</v>
      </c>
      <c r="E108" s="935" t="s">
        <v>860</v>
      </c>
      <c r="F108" s="935" t="s">
        <v>824</v>
      </c>
      <c r="G108" s="935" t="s">
        <v>847</v>
      </c>
      <c r="H108" s="942"/>
      <c r="I108" s="912"/>
      <c r="J108" s="935" t="s">
        <v>260</v>
      </c>
      <c r="K108" s="935" t="s">
        <v>847</v>
      </c>
      <c r="L108" s="937"/>
      <c r="M108" s="937"/>
      <c r="N108" s="937"/>
    </row>
    <row r="109" spans="1:14" ht="17.25" customHeight="1">
      <c r="A109" s="930" t="s">
        <v>91</v>
      </c>
      <c r="B109" s="934" t="s">
        <v>806</v>
      </c>
      <c r="C109" s="935" t="s">
        <v>850</v>
      </c>
      <c r="D109" s="935" t="s">
        <v>859</v>
      </c>
      <c r="E109" s="935" t="s">
        <v>860</v>
      </c>
      <c r="F109" s="935" t="s">
        <v>824</v>
      </c>
      <c r="G109" s="935" t="s">
        <v>848</v>
      </c>
      <c r="H109" s="942"/>
      <c r="I109" s="912"/>
      <c r="J109" s="935" t="s">
        <v>260</v>
      </c>
      <c r="K109" s="935" t="s">
        <v>848</v>
      </c>
      <c r="L109" s="937">
        <v>0</v>
      </c>
      <c r="M109" s="937">
        <v>200</v>
      </c>
      <c r="N109" s="937">
        <v>200</v>
      </c>
    </row>
    <row r="110" spans="1:14" ht="18.75">
      <c r="A110" s="943" t="s">
        <v>1246</v>
      </c>
      <c r="B110" s="944" t="s">
        <v>806</v>
      </c>
      <c r="C110" s="945" t="s">
        <v>861</v>
      </c>
      <c r="D110" s="945" t="s">
        <v>802</v>
      </c>
      <c r="E110" s="945" t="s">
        <v>803</v>
      </c>
      <c r="F110" s="945" t="s">
        <v>804</v>
      </c>
      <c r="G110" s="945" t="s">
        <v>804</v>
      </c>
      <c r="H110" s="946"/>
      <c r="I110" s="947"/>
      <c r="J110" s="945" t="s">
        <v>804</v>
      </c>
      <c r="K110" s="945" t="s">
        <v>804</v>
      </c>
      <c r="L110" s="918">
        <f>L111+L114</f>
        <v>601.22</v>
      </c>
      <c r="M110" s="955">
        <f>M134+M115+M112</f>
        <v>931.7</v>
      </c>
      <c r="N110" s="955">
        <f>N134+N115+N112</f>
        <v>617.6</v>
      </c>
    </row>
    <row r="111" spans="1:14" ht="20.25" customHeight="1">
      <c r="A111" s="956" t="s">
        <v>862</v>
      </c>
      <c r="B111" s="957" t="s">
        <v>806</v>
      </c>
      <c r="C111" s="958" t="s">
        <v>861</v>
      </c>
      <c r="D111" s="958" t="s">
        <v>801</v>
      </c>
      <c r="E111" s="958" t="s">
        <v>863</v>
      </c>
      <c r="F111" s="958" t="s">
        <v>804</v>
      </c>
      <c r="G111" s="958"/>
      <c r="H111" s="959"/>
      <c r="I111" s="960"/>
      <c r="J111" s="958" t="s">
        <v>824</v>
      </c>
      <c r="K111" s="958" t="s">
        <v>802</v>
      </c>
      <c r="L111" s="940">
        <f>L112+L126+L124</f>
        <v>60.12</v>
      </c>
      <c r="M111" s="961">
        <f>M112</f>
        <v>0</v>
      </c>
      <c r="N111" s="961">
        <f>N112</f>
        <v>0</v>
      </c>
    </row>
    <row r="112" spans="1:14" ht="30.75" customHeight="1">
      <c r="A112" s="930" t="s">
        <v>828</v>
      </c>
      <c r="B112" s="957" t="s">
        <v>806</v>
      </c>
      <c r="C112" s="958" t="s">
        <v>861</v>
      </c>
      <c r="D112" s="958" t="s">
        <v>801</v>
      </c>
      <c r="E112" s="958" t="s">
        <v>863</v>
      </c>
      <c r="F112" s="958" t="s">
        <v>824</v>
      </c>
      <c r="G112" s="958"/>
      <c r="H112" s="959"/>
      <c r="I112" s="960"/>
      <c r="J112" s="958" t="s">
        <v>824</v>
      </c>
      <c r="K112" s="935" t="s">
        <v>42</v>
      </c>
      <c r="L112" s="962">
        <v>0</v>
      </c>
      <c r="M112" s="962">
        <f>M114</f>
        <v>0</v>
      </c>
      <c r="N112" s="962">
        <f>N114</f>
        <v>0</v>
      </c>
    </row>
    <row r="113" spans="1:14" ht="12.75">
      <c r="A113" s="930" t="s">
        <v>857</v>
      </c>
      <c r="B113" s="957" t="s">
        <v>806</v>
      </c>
      <c r="C113" s="958" t="s">
        <v>861</v>
      </c>
      <c r="D113" s="958" t="s">
        <v>801</v>
      </c>
      <c r="E113" s="958" t="s">
        <v>863</v>
      </c>
      <c r="F113" s="958" t="s">
        <v>824</v>
      </c>
      <c r="G113" s="958"/>
      <c r="H113" s="959"/>
      <c r="I113" s="960"/>
      <c r="J113" s="958" t="s">
        <v>824</v>
      </c>
      <c r="K113" s="935" t="s">
        <v>835</v>
      </c>
      <c r="L113" s="962">
        <v>0</v>
      </c>
      <c r="M113" s="962">
        <f>M114</f>
        <v>0</v>
      </c>
      <c r="N113" s="962">
        <f>N114</f>
        <v>0</v>
      </c>
    </row>
    <row r="114" spans="1:14" ht="12.75">
      <c r="A114" s="930" t="s">
        <v>1242</v>
      </c>
      <c r="B114" s="957" t="s">
        <v>806</v>
      </c>
      <c r="C114" s="958" t="s">
        <v>861</v>
      </c>
      <c r="D114" s="958" t="s">
        <v>864</v>
      </c>
      <c r="E114" s="958" t="s">
        <v>1244</v>
      </c>
      <c r="F114" s="958" t="s">
        <v>34</v>
      </c>
      <c r="G114" s="958"/>
      <c r="H114" s="959"/>
      <c r="I114" s="960"/>
      <c r="J114" s="958" t="s">
        <v>824</v>
      </c>
      <c r="K114" s="935" t="s">
        <v>868</v>
      </c>
      <c r="L114" s="962">
        <v>541.1</v>
      </c>
      <c r="M114" s="962"/>
      <c r="N114" s="962"/>
    </row>
    <row r="115" spans="1:14" ht="18.75" customHeight="1">
      <c r="A115" s="930" t="s">
        <v>1222</v>
      </c>
      <c r="B115" s="934" t="s">
        <v>806</v>
      </c>
      <c r="C115" s="935" t="s">
        <v>861</v>
      </c>
      <c r="D115" s="935" t="s">
        <v>864</v>
      </c>
      <c r="E115" s="935" t="s">
        <v>865</v>
      </c>
      <c r="F115" s="935" t="s">
        <v>535</v>
      </c>
      <c r="G115" s="935" t="s">
        <v>804</v>
      </c>
      <c r="H115" s="942"/>
      <c r="I115" s="912"/>
      <c r="J115" s="935" t="s">
        <v>535</v>
      </c>
      <c r="K115" s="935" t="s">
        <v>804</v>
      </c>
      <c r="L115" s="940">
        <v>0</v>
      </c>
      <c r="M115" s="940">
        <f>M116</f>
        <v>931.7</v>
      </c>
      <c r="N115" s="940">
        <f>N116</f>
        <v>617.6</v>
      </c>
    </row>
    <row r="116" spans="1:14" ht="15.75" customHeight="1">
      <c r="A116" s="930" t="s">
        <v>828</v>
      </c>
      <c r="B116" s="934" t="s">
        <v>806</v>
      </c>
      <c r="C116" s="935" t="s">
        <v>861</v>
      </c>
      <c r="D116" s="935" t="s">
        <v>864</v>
      </c>
      <c r="E116" s="935" t="s">
        <v>1196</v>
      </c>
      <c r="F116" s="935" t="s">
        <v>535</v>
      </c>
      <c r="G116" s="935" t="s">
        <v>42</v>
      </c>
      <c r="H116" s="942"/>
      <c r="I116" s="912"/>
      <c r="J116" s="935" t="s">
        <v>535</v>
      </c>
      <c r="K116" s="935" t="s">
        <v>42</v>
      </c>
      <c r="L116" s="951"/>
      <c r="M116" s="951">
        <f>M130</f>
        <v>931.7</v>
      </c>
      <c r="N116" s="951">
        <f>N130</f>
        <v>617.6</v>
      </c>
    </row>
    <row r="117" spans="1:14" ht="9" customHeight="1">
      <c r="A117" s="930" t="s">
        <v>815</v>
      </c>
      <c r="B117" s="934" t="s">
        <v>806</v>
      </c>
      <c r="C117" s="935" t="s">
        <v>861</v>
      </c>
      <c r="D117" s="935" t="s">
        <v>864</v>
      </c>
      <c r="E117" s="935" t="s">
        <v>1196</v>
      </c>
      <c r="F117" s="935" t="s">
        <v>535</v>
      </c>
      <c r="G117" s="935" t="s">
        <v>816</v>
      </c>
      <c r="H117" s="942"/>
      <c r="I117" s="912"/>
      <c r="J117" s="935" t="s">
        <v>535</v>
      </c>
      <c r="K117" s="935" t="s">
        <v>816</v>
      </c>
      <c r="L117" s="937"/>
      <c r="M117" s="937"/>
      <c r="N117" s="937"/>
    </row>
    <row r="118" spans="1:14" ht="12.75">
      <c r="A118" s="930" t="s">
        <v>819</v>
      </c>
      <c r="B118" s="934" t="s">
        <v>806</v>
      </c>
      <c r="C118" s="935" t="s">
        <v>861</v>
      </c>
      <c r="D118" s="935" t="s">
        <v>864</v>
      </c>
      <c r="E118" s="935" t="s">
        <v>1196</v>
      </c>
      <c r="F118" s="935" t="s">
        <v>535</v>
      </c>
      <c r="G118" s="935" t="s">
        <v>820</v>
      </c>
      <c r="H118" s="942"/>
      <c r="I118" s="912"/>
      <c r="J118" s="935" t="s">
        <v>535</v>
      </c>
      <c r="K118" s="935" t="s">
        <v>820</v>
      </c>
      <c r="L118" s="937"/>
      <c r="M118" s="937"/>
      <c r="N118" s="937"/>
    </row>
    <row r="119" spans="1:14" ht="10.5" customHeight="1">
      <c r="A119" s="930" t="s">
        <v>857</v>
      </c>
      <c r="B119" s="934" t="s">
        <v>806</v>
      </c>
      <c r="C119" s="935" t="s">
        <v>861</v>
      </c>
      <c r="D119" s="935" t="s">
        <v>864</v>
      </c>
      <c r="E119" s="935" t="s">
        <v>1196</v>
      </c>
      <c r="F119" s="935" t="s">
        <v>535</v>
      </c>
      <c r="G119" s="935" t="s">
        <v>835</v>
      </c>
      <c r="H119" s="942"/>
      <c r="I119" s="912"/>
      <c r="J119" s="935" t="s">
        <v>535</v>
      </c>
      <c r="K119" s="935" t="s">
        <v>835</v>
      </c>
      <c r="L119" s="937"/>
      <c r="M119" s="937"/>
      <c r="N119" s="937"/>
    </row>
    <row r="120" spans="1:14" ht="14.25" customHeight="1">
      <c r="A120" s="930" t="s">
        <v>77</v>
      </c>
      <c r="B120" s="934" t="s">
        <v>806</v>
      </c>
      <c r="C120" s="935" t="s">
        <v>861</v>
      </c>
      <c r="D120" s="935" t="s">
        <v>864</v>
      </c>
      <c r="E120" s="935" t="s">
        <v>1196</v>
      </c>
      <c r="F120" s="935" t="s">
        <v>535</v>
      </c>
      <c r="G120" s="935" t="s">
        <v>836</v>
      </c>
      <c r="H120" s="942"/>
      <c r="I120" s="912"/>
      <c r="J120" s="935" t="s">
        <v>535</v>
      </c>
      <c r="K120" s="935" t="s">
        <v>836</v>
      </c>
      <c r="L120" s="937"/>
      <c r="M120" s="937"/>
      <c r="N120" s="937"/>
    </row>
    <row r="121" spans="1:14" ht="12" customHeight="1">
      <c r="A121" s="930" t="s">
        <v>837</v>
      </c>
      <c r="B121" s="934" t="s">
        <v>806</v>
      </c>
      <c r="C121" s="935" t="s">
        <v>861</v>
      </c>
      <c r="D121" s="935" t="s">
        <v>864</v>
      </c>
      <c r="E121" s="935" t="s">
        <v>1196</v>
      </c>
      <c r="F121" s="935" t="s">
        <v>535</v>
      </c>
      <c r="G121" s="935" t="s">
        <v>838</v>
      </c>
      <c r="H121" s="942"/>
      <c r="I121" s="912"/>
      <c r="J121" s="935" t="s">
        <v>535</v>
      </c>
      <c r="K121" s="935" t="s">
        <v>838</v>
      </c>
      <c r="L121" s="937"/>
      <c r="M121" s="937"/>
      <c r="N121" s="937"/>
    </row>
    <row r="122" spans="1:14" ht="9.75" customHeight="1">
      <c r="A122" s="930" t="s">
        <v>841</v>
      </c>
      <c r="B122" s="934" t="s">
        <v>806</v>
      </c>
      <c r="C122" s="935" t="s">
        <v>861</v>
      </c>
      <c r="D122" s="935" t="s">
        <v>864</v>
      </c>
      <c r="E122" s="935" t="s">
        <v>1196</v>
      </c>
      <c r="F122" s="935" t="s">
        <v>535</v>
      </c>
      <c r="G122" s="935" t="s">
        <v>840</v>
      </c>
      <c r="H122" s="942"/>
      <c r="I122" s="912"/>
      <c r="J122" s="935" t="s">
        <v>535</v>
      </c>
      <c r="K122" s="935" t="s">
        <v>840</v>
      </c>
      <c r="L122" s="937"/>
      <c r="M122" s="937"/>
      <c r="N122" s="937"/>
    </row>
    <row r="123" spans="1:14" ht="12.75" customHeight="1">
      <c r="A123" s="930" t="s">
        <v>855</v>
      </c>
      <c r="B123" s="934" t="s">
        <v>806</v>
      </c>
      <c r="C123" s="935" t="s">
        <v>861</v>
      </c>
      <c r="D123" s="935" t="s">
        <v>864</v>
      </c>
      <c r="E123" s="935" t="s">
        <v>1196</v>
      </c>
      <c r="F123" s="935" t="s">
        <v>535</v>
      </c>
      <c r="G123" s="935" t="s">
        <v>842</v>
      </c>
      <c r="H123" s="942"/>
      <c r="I123" s="912"/>
      <c r="J123" s="935" t="s">
        <v>535</v>
      </c>
      <c r="K123" s="935" t="s">
        <v>842</v>
      </c>
      <c r="L123" s="937"/>
      <c r="M123" s="937"/>
      <c r="N123" s="937"/>
    </row>
    <row r="124" spans="1:14" ht="16.5" customHeight="1">
      <c r="A124" s="930" t="s">
        <v>1242</v>
      </c>
      <c r="B124" s="934" t="s">
        <v>806</v>
      </c>
      <c r="C124" s="935" t="s">
        <v>861</v>
      </c>
      <c r="D124" s="935" t="s">
        <v>864</v>
      </c>
      <c r="E124" s="935" t="s">
        <v>1268</v>
      </c>
      <c r="F124" s="935" t="s">
        <v>34</v>
      </c>
      <c r="G124" s="935" t="s">
        <v>53</v>
      </c>
      <c r="H124" s="942"/>
      <c r="I124" s="912"/>
      <c r="J124" s="935" t="s">
        <v>535</v>
      </c>
      <c r="K124" s="935" t="s">
        <v>868</v>
      </c>
      <c r="L124" s="937">
        <v>60.12</v>
      </c>
      <c r="M124" s="937"/>
      <c r="N124" s="937"/>
    </row>
    <row r="125" spans="1:14" ht="15.75" customHeight="1" hidden="1">
      <c r="A125" s="930" t="s">
        <v>867</v>
      </c>
      <c r="B125" s="934" t="s">
        <v>806</v>
      </c>
      <c r="C125" s="935" t="s">
        <v>861</v>
      </c>
      <c r="D125" s="935" t="s">
        <v>864</v>
      </c>
      <c r="E125" s="935" t="s">
        <v>962</v>
      </c>
      <c r="F125" s="935" t="s">
        <v>535</v>
      </c>
      <c r="G125" s="935" t="s">
        <v>868</v>
      </c>
      <c r="H125" s="942"/>
      <c r="I125" s="912"/>
      <c r="J125" s="935" t="s">
        <v>535</v>
      </c>
      <c r="K125" s="935" t="s">
        <v>868</v>
      </c>
      <c r="L125" s="937"/>
      <c r="M125" s="937"/>
      <c r="N125" s="937"/>
    </row>
    <row r="126" spans="1:14" ht="14.25" customHeight="1" hidden="1">
      <c r="A126" s="930" t="s">
        <v>869</v>
      </c>
      <c r="B126" s="934" t="s">
        <v>806</v>
      </c>
      <c r="C126" s="935" t="s">
        <v>861</v>
      </c>
      <c r="D126" s="935" t="s">
        <v>864</v>
      </c>
      <c r="E126" s="935" t="s">
        <v>962</v>
      </c>
      <c r="F126" s="935" t="s">
        <v>535</v>
      </c>
      <c r="G126" s="935" t="s">
        <v>870</v>
      </c>
      <c r="H126" s="942"/>
      <c r="I126" s="912"/>
      <c r="J126" s="935" t="s">
        <v>535</v>
      </c>
      <c r="K126" s="935" t="s">
        <v>870</v>
      </c>
      <c r="L126" s="937"/>
      <c r="M126" s="937"/>
      <c r="N126" s="937"/>
    </row>
    <row r="127" spans="1:14" ht="12.75" hidden="1">
      <c r="A127" s="929" t="s">
        <v>84</v>
      </c>
      <c r="B127" s="934" t="s">
        <v>806</v>
      </c>
      <c r="C127" s="935" t="s">
        <v>861</v>
      </c>
      <c r="D127" s="935" t="s">
        <v>864</v>
      </c>
      <c r="E127" s="935" t="s">
        <v>962</v>
      </c>
      <c r="F127" s="935" t="s">
        <v>535</v>
      </c>
      <c r="G127" s="935" t="s">
        <v>871</v>
      </c>
      <c r="H127" s="942"/>
      <c r="I127" s="912"/>
      <c r="J127" s="935" t="s">
        <v>535</v>
      </c>
      <c r="K127" s="935" t="s">
        <v>871</v>
      </c>
      <c r="L127" s="937"/>
      <c r="M127" s="937"/>
      <c r="N127" s="937"/>
    </row>
    <row r="128" spans="1:14" ht="13.5" customHeight="1" hidden="1">
      <c r="A128" s="929" t="s">
        <v>843</v>
      </c>
      <c r="B128" s="934" t="s">
        <v>806</v>
      </c>
      <c r="C128" s="935" t="s">
        <v>861</v>
      </c>
      <c r="D128" s="935" t="s">
        <v>864</v>
      </c>
      <c r="E128" s="935" t="s">
        <v>962</v>
      </c>
      <c r="F128" s="935" t="s">
        <v>535</v>
      </c>
      <c r="G128" s="935" t="s">
        <v>872</v>
      </c>
      <c r="H128" s="942"/>
      <c r="I128" s="912"/>
      <c r="J128" s="935" t="s">
        <v>535</v>
      </c>
      <c r="K128" s="935" t="s">
        <v>872</v>
      </c>
      <c r="L128" s="937"/>
      <c r="M128" s="937"/>
      <c r="N128" s="937"/>
    </row>
    <row r="129" spans="1:14" ht="14.25" customHeight="1" hidden="1">
      <c r="A129" s="929" t="s">
        <v>829</v>
      </c>
      <c r="B129" s="934" t="s">
        <v>806</v>
      </c>
      <c r="C129" s="935" t="s">
        <v>861</v>
      </c>
      <c r="D129" s="935" t="s">
        <v>864</v>
      </c>
      <c r="E129" s="935" t="s">
        <v>962</v>
      </c>
      <c r="F129" s="935" t="s">
        <v>535</v>
      </c>
      <c r="G129" s="935" t="s">
        <v>830</v>
      </c>
      <c r="H129" s="942"/>
      <c r="I129" s="912"/>
      <c r="J129" s="935" t="s">
        <v>535</v>
      </c>
      <c r="K129" s="935" t="s">
        <v>830</v>
      </c>
      <c r="L129" s="937"/>
      <c r="M129" s="937"/>
      <c r="N129" s="937"/>
    </row>
    <row r="130" spans="1:14" ht="13.5" customHeight="1" hidden="1">
      <c r="A130" s="930" t="s">
        <v>1222</v>
      </c>
      <c r="B130" s="934" t="s">
        <v>806</v>
      </c>
      <c r="C130" s="935" t="s">
        <v>861</v>
      </c>
      <c r="D130" s="935" t="s">
        <v>826</v>
      </c>
      <c r="E130" s="935" t="s">
        <v>1221</v>
      </c>
      <c r="F130" s="935" t="s">
        <v>824</v>
      </c>
      <c r="G130" s="935" t="s">
        <v>846</v>
      </c>
      <c r="H130" s="942"/>
      <c r="I130" s="912"/>
      <c r="J130" s="935" t="s">
        <v>535</v>
      </c>
      <c r="K130" s="935" t="s">
        <v>835</v>
      </c>
      <c r="L130" s="937">
        <f>L132</f>
        <v>150</v>
      </c>
      <c r="M130" s="937">
        <f>M132</f>
        <v>931.7</v>
      </c>
      <c r="N130" s="937">
        <f>N132</f>
        <v>617.6</v>
      </c>
    </row>
    <row r="131" spans="1:14" ht="27.75">
      <c r="A131" s="943" t="s">
        <v>1245</v>
      </c>
      <c r="B131" s="944" t="s">
        <v>806</v>
      </c>
      <c r="C131" s="945" t="s">
        <v>861</v>
      </c>
      <c r="D131" s="945" t="s">
        <v>802</v>
      </c>
      <c r="E131" s="945" t="s">
        <v>803</v>
      </c>
      <c r="F131" s="945" t="s">
        <v>804</v>
      </c>
      <c r="G131" s="945" t="s">
        <v>804</v>
      </c>
      <c r="H131" s="946"/>
      <c r="I131" s="947"/>
      <c r="J131" s="945" t="s">
        <v>804</v>
      </c>
      <c r="K131" s="945" t="s">
        <v>804</v>
      </c>
      <c r="L131" s="918">
        <f>L132</f>
        <v>150</v>
      </c>
      <c r="M131" s="955">
        <f>M156+M136+M133</f>
        <v>0</v>
      </c>
      <c r="N131" s="955">
        <f>N156+N136+N133</f>
        <v>0</v>
      </c>
    </row>
    <row r="132" spans="1:14" ht="19.5" customHeight="1">
      <c r="A132" s="930" t="s">
        <v>1222</v>
      </c>
      <c r="B132" s="934" t="s">
        <v>806</v>
      </c>
      <c r="C132" s="935" t="s">
        <v>861</v>
      </c>
      <c r="D132" s="935" t="s">
        <v>826</v>
      </c>
      <c r="E132" s="935" t="s">
        <v>1269</v>
      </c>
      <c r="F132" s="935" t="s">
        <v>824</v>
      </c>
      <c r="G132" s="935" t="s">
        <v>847</v>
      </c>
      <c r="H132" s="942"/>
      <c r="I132" s="912"/>
      <c r="J132" s="935" t="s">
        <v>535</v>
      </c>
      <c r="K132" s="935" t="s">
        <v>842</v>
      </c>
      <c r="L132" s="937">
        <v>150</v>
      </c>
      <c r="M132" s="937">
        <v>931.7</v>
      </c>
      <c r="N132" s="937">
        <v>617.6</v>
      </c>
    </row>
    <row r="133" spans="1:14" ht="18" customHeight="1">
      <c r="A133" s="930" t="s">
        <v>1222</v>
      </c>
      <c r="B133" s="934" t="s">
        <v>806</v>
      </c>
      <c r="C133" s="935" t="s">
        <v>861</v>
      </c>
      <c r="D133" s="935" t="s">
        <v>826</v>
      </c>
      <c r="E133" s="935" t="s">
        <v>1269</v>
      </c>
      <c r="F133" s="935" t="s">
        <v>824</v>
      </c>
      <c r="G133" s="935" t="s">
        <v>848</v>
      </c>
      <c r="H133" s="942"/>
      <c r="I133" s="912"/>
      <c r="J133" s="935" t="s">
        <v>535</v>
      </c>
      <c r="K133" s="935" t="s">
        <v>842</v>
      </c>
      <c r="L133" s="937">
        <v>0</v>
      </c>
      <c r="M133" s="937"/>
      <c r="N133" s="937"/>
    </row>
    <row r="134" spans="1:14" ht="18" customHeight="1">
      <c r="A134" s="953" t="s">
        <v>873</v>
      </c>
      <c r="B134" s="934" t="s">
        <v>806</v>
      </c>
      <c r="C134" s="935" t="s">
        <v>861</v>
      </c>
      <c r="D134" s="935" t="s">
        <v>826</v>
      </c>
      <c r="E134" s="935" t="s">
        <v>1269</v>
      </c>
      <c r="F134" s="935" t="s">
        <v>824</v>
      </c>
      <c r="G134" s="935" t="s">
        <v>804</v>
      </c>
      <c r="H134" s="942"/>
      <c r="I134" s="912"/>
      <c r="J134" s="935" t="s">
        <v>34</v>
      </c>
      <c r="K134" s="935" t="s">
        <v>804</v>
      </c>
      <c r="L134" s="940"/>
      <c r="M134" s="940"/>
      <c r="N134" s="940"/>
    </row>
    <row r="135" spans="1:14" ht="12.75" customHeight="1" hidden="1">
      <c r="A135" s="930" t="s">
        <v>828</v>
      </c>
      <c r="B135" s="934" t="s">
        <v>806</v>
      </c>
      <c r="C135" s="935" t="s">
        <v>861</v>
      </c>
      <c r="D135" s="935" t="s">
        <v>826</v>
      </c>
      <c r="E135" s="935" t="s">
        <v>874</v>
      </c>
      <c r="F135" s="935" t="s">
        <v>34</v>
      </c>
      <c r="G135" s="935" t="s">
        <v>42</v>
      </c>
      <c r="H135" s="942"/>
      <c r="I135" s="912"/>
      <c r="J135" s="935" t="s">
        <v>34</v>
      </c>
      <c r="K135" s="935" t="s">
        <v>42</v>
      </c>
      <c r="L135" s="940"/>
      <c r="M135" s="940"/>
      <c r="N135" s="940"/>
    </row>
    <row r="136" spans="1:14" ht="12.75" customHeight="1" hidden="1">
      <c r="A136" s="930" t="s">
        <v>875</v>
      </c>
      <c r="B136" s="934" t="s">
        <v>806</v>
      </c>
      <c r="C136" s="935" t="s">
        <v>861</v>
      </c>
      <c r="D136" s="935" t="s">
        <v>826</v>
      </c>
      <c r="E136" s="935" t="s">
        <v>874</v>
      </c>
      <c r="F136" s="935" t="s">
        <v>34</v>
      </c>
      <c r="G136" s="935" t="s">
        <v>835</v>
      </c>
      <c r="H136" s="942"/>
      <c r="I136" s="912"/>
      <c r="J136" s="935" t="s">
        <v>34</v>
      </c>
      <c r="K136" s="935" t="s">
        <v>835</v>
      </c>
      <c r="L136" s="937"/>
      <c r="M136" s="937"/>
      <c r="N136" s="937"/>
    </row>
    <row r="137" spans="1:14" ht="12.75" customHeight="1" hidden="1">
      <c r="A137" s="930" t="s">
        <v>855</v>
      </c>
      <c r="B137" s="934" t="s">
        <v>806</v>
      </c>
      <c r="C137" s="935" t="s">
        <v>861</v>
      </c>
      <c r="D137" s="935" t="s">
        <v>826</v>
      </c>
      <c r="E137" s="935" t="s">
        <v>874</v>
      </c>
      <c r="F137" s="935" t="s">
        <v>34</v>
      </c>
      <c r="G137" s="935" t="s">
        <v>842</v>
      </c>
      <c r="H137" s="942"/>
      <c r="I137" s="912"/>
      <c r="J137" s="935" t="s">
        <v>34</v>
      </c>
      <c r="K137" s="935" t="s">
        <v>842</v>
      </c>
      <c r="L137" s="937"/>
      <c r="M137" s="937"/>
      <c r="N137" s="937"/>
    </row>
    <row r="138" spans="1:14" ht="12.75" customHeight="1" hidden="1">
      <c r="A138" s="930"/>
      <c r="B138" s="934"/>
      <c r="C138" s="935"/>
      <c r="D138" s="935"/>
      <c r="E138" s="935"/>
      <c r="F138" s="935"/>
      <c r="G138" s="935"/>
      <c r="H138" s="942"/>
      <c r="I138" s="912"/>
      <c r="J138" s="935"/>
      <c r="K138" s="935"/>
      <c r="L138" s="937"/>
      <c r="M138" s="937"/>
      <c r="N138" s="937"/>
    </row>
    <row r="139" spans="1:14" ht="12.75" customHeight="1" hidden="1">
      <c r="A139" s="930"/>
      <c r="B139" s="934"/>
      <c r="C139" s="935"/>
      <c r="D139" s="935"/>
      <c r="E139" s="935"/>
      <c r="F139" s="935"/>
      <c r="G139" s="935"/>
      <c r="H139" s="942"/>
      <c r="I139" s="912"/>
      <c r="J139" s="935"/>
      <c r="K139" s="935"/>
      <c r="L139" s="937"/>
      <c r="M139" s="937"/>
      <c r="N139" s="937"/>
    </row>
    <row r="140" spans="1:14" ht="32.25" customHeight="1" hidden="1">
      <c r="A140" s="930"/>
      <c r="B140" s="934"/>
      <c r="C140" s="935"/>
      <c r="D140" s="935"/>
      <c r="E140" s="935"/>
      <c r="F140" s="935"/>
      <c r="G140" s="935"/>
      <c r="H140" s="942"/>
      <c r="I140" s="912"/>
      <c r="J140" s="935"/>
      <c r="K140" s="935"/>
      <c r="L140" s="937"/>
      <c r="M140" s="937"/>
      <c r="N140" s="937"/>
    </row>
    <row r="141" spans="1:14" ht="0.75" customHeight="1">
      <c r="A141" s="930"/>
      <c r="B141" s="934"/>
      <c r="C141" s="935"/>
      <c r="D141" s="935"/>
      <c r="E141" s="935"/>
      <c r="F141" s="935"/>
      <c r="G141" s="935"/>
      <c r="H141" s="942"/>
      <c r="I141" s="912"/>
      <c r="J141" s="935"/>
      <c r="K141" s="935"/>
      <c r="L141" s="937"/>
      <c r="M141" s="937"/>
      <c r="N141" s="937"/>
    </row>
    <row r="142" spans="1:14" ht="0.75" customHeight="1">
      <c r="A142" s="943" t="s">
        <v>1213</v>
      </c>
      <c r="B142" s="944" t="s">
        <v>806</v>
      </c>
      <c r="C142" s="945" t="s">
        <v>876</v>
      </c>
      <c r="D142" s="945" t="s">
        <v>802</v>
      </c>
      <c r="E142" s="945" t="s">
        <v>803</v>
      </c>
      <c r="F142" s="945"/>
      <c r="G142" s="945"/>
      <c r="H142" s="946"/>
      <c r="I142" s="947"/>
      <c r="J142" s="945" t="s">
        <v>804</v>
      </c>
      <c r="K142" s="945" t="s">
        <v>804</v>
      </c>
      <c r="L142" s="948"/>
      <c r="M142" s="948"/>
      <c r="N142" s="948"/>
    </row>
    <row r="143" spans="1:14" ht="18.75" customHeight="1" hidden="1">
      <c r="A143" s="943" t="s">
        <v>1213</v>
      </c>
      <c r="B143" s="944" t="s">
        <v>806</v>
      </c>
      <c r="C143" s="945" t="s">
        <v>876</v>
      </c>
      <c r="D143" s="945" t="s">
        <v>802</v>
      </c>
      <c r="E143" s="945" t="s">
        <v>803</v>
      </c>
      <c r="F143" s="945" t="s">
        <v>804</v>
      </c>
      <c r="G143" s="945" t="s">
        <v>804</v>
      </c>
      <c r="H143" s="946"/>
      <c r="I143" s="947"/>
      <c r="J143" s="945"/>
      <c r="K143" s="945" t="s">
        <v>804</v>
      </c>
      <c r="L143" s="918">
        <f>L145+L170+L168+L165+L152</f>
        <v>155</v>
      </c>
      <c r="M143" s="948">
        <f>M145+M159</f>
        <v>24804.7</v>
      </c>
      <c r="N143" s="948">
        <f>N145+N159</f>
        <v>24370.7</v>
      </c>
    </row>
    <row r="144" spans="1:14" ht="17.25" customHeight="1">
      <c r="A144" s="943" t="s">
        <v>1247</v>
      </c>
      <c r="B144" s="944" t="s">
        <v>806</v>
      </c>
      <c r="C144" s="945" t="s">
        <v>876</v>
      </c>
      <c r="D144" s="945" t="s">
        <v>807</v>
      </c>
      <c r="E144" s="945" t="s">
        <v>803</v>
      </c>
      <c r="F144" s="945" t="s">
        <v>804</v>
      </c>
      <c r="G144" s="945" t="s">
        <v>804</v>
      </c>
      <c r="H144" s="946"/>
      <c r="I144" s="947"/>
      <c r="J144" s="945" t="s">
        <v>804</v>
      </c>
      <c r="K144" s="945" t="s">
        <v>804</v>
      </c>
      <c r="L144" s="918">
        <f>L145</f>
        <v>85</v>
      </c>
      <c r="M144" s="955" t="e">
        <f>M169+M149+M146</f>
        <v>#REF!</v>
      </c>
      <c r="N144" s="955" t="e">
        <f>N169+N149+N146</f>
        <v>#REF!</v>
      </c>
    </row>
    <row r="145" spans="1:14" ht="12" customHeight="1" hidden="1">
      <c r="A145" s="949" t="s">
        <v>877</v>
      </c>
      <c r="B145" s="934" t="s">
        <v>806</v>
      </c>
      <c r="C145" s="935" t="s">
        <v>876</v>
      </c>
      <c r="D145" s="935" t="s">
        <v>807</v>
      </c>
      <c r="E145" s="935" t="s">
        <v>963</v>
      </c>
      <c r="F145" s="935" t="s">
        <v>804</v>
      </c>
      <c r="G145" s="935" t="s">
        <v>804</v>
      </c>
      <c r="H145" s="942"/>
      <c r="I145" s="950"/>
      <c r="J145" s="935" t="s">
        <v>804</v>
      </c>
      <c r="K145" s="935" t="s">
        <v>804</v>
      </c>
      <c r="L145" s="918">
        <f>L146+L171+L169+L166+L165+L152</f>
        <v>85</v>
      </c>
      <c r="M145" s="951">
        <f aca="true" t="shared" si="3" ref="M145:N147">M146</f>
        <v>1534</v>
      </c>
      <c r="N145" s="951">
        <f t="shared" si="3"/>
        <v>1100</v>
      </c>
    </row>
    <row r="146" spans="1:14" ht="19.5" customHeight="1">
      <c r="A146" s="938" t="s">
        <v>878</v>
      </c>
      <c r="B146" s="934" t="s">
        <v>806</v>
      </c>
      <c r="C146" s="935" t="s">
        <v>876</v>
      </c>
      <c r="D146" s="935" t="s">
        <v>807</v>
      </c>
      <c r="E146" s="935" t="s">
        <v>879</v>
      </c>
      <c r="F146" s="935" t="s">
        <v>824</v>
      </c>
      <c r="G146" s="935" t="s">
        <v>804</v>
      </c>
      <c r="H146" s="942"/>
      <c r="I146" s="950"/>
      <c r="J146" s="935" t="s">
        <v>824</v>
      </c>
      <c r="K146" s="935" t="s">
        <v>804</v>
      </c>
      <c r="L146" s="1103">
        <f>L147+L151+L154</f>
        <v>15</v>
      </c>
      <c r="M146" s="951">
        <f t="shared" si="3"/>
        <v>1534</v>
      </c>
      <c r="N146" s="951">
        <f t="shared" si="3"/>
        <v>1100</v>
      </c>
    </row>
    <row r="147" spans="1:14" ht="10.5" customHeight="1">
      <c r="A147" s="930" t="s">
        <v>828</v>
      </c>
      <c r="B147" s="934" t="s">
        <v>806</v>
      </c>
      <c r="C147" s="935" t="s">
        <v>876</v>
      </c>
      <c r="D147" s="935" t="s">
        <v>807</v>
      </c>
      <c r="E147" s="935" t="s">
        <v>879</v>
      </c>
      <c r="F147" s="935" t="s">
        <v>824</v>
      </c>
      <c r="G147" s="935" t="s">
        <v>42</v>
      </c>
      <c r="H147" s="942"/>
      <c r="I147" s="950"/>
      <c r="J147" s="935" t="s">
        <v>824</v>
      </c>
      <c r="K147" s="935" t="s">
        <v>42</v>
      </c>
      <c r="L147" s="1103">
        <f>L148+L151</f>
        <v>15</v>
      </c>
      <c r="M147" s="951">
        <f t="shared" si="3"/>
        <v>1534</v>
      </c>
      <c r="N147" s="951">
        <f t="shared" si="3"/>
        <v>1100</v>
      </c>
    </row>
    <row r="148" spans="1:14" ht="18" customHeight="1">
      <c r="A148" s="930" t="s">
        <v>834</v>
      </c>
      <c r="B148" s="934" t="s">
        <v>806</v>
      </c>
      <c r="C148" s="935" t="s">
        <v>876</v>
      </c>
      <c r="D148" s="935" t="s">
        <v>807</v>
      </c>
      <c r="E148" s="935" t="s">
        <v>879</v>
      </c>
      <c r="F148" s="935" t="s">
        <v>824</v>
      </c>
      <c r="G148" s="935" t="s">
        <v>835</v>
      </c>
      <c r="H148" s="942"/>
      <c r="I148" s="950"/>
      <c r="J148" s="935" t="s">
        <v>824</v>
      </c>
      <c r="K148" s="935" t="s">
        <v>835</v>
      </c>
      <c r="L148" s="1103">
        <f>L149+L150</f>
        <v>15</v>
      </c>
      <c r="M148" s="951">
        <f>M149</f>
        <v>1534</v>
      </c>
      <c r="N148" s="951">
        <f>N149+N150</f>
        <v>1100</v>
      </c>
    </row>
    <row r="149" spans="1:14" ht="12.75">
      <c r="A149" s="930" t="s">
        <v>841</v>
      </c>
      <c r="B149" s="934" t="s">
        <v>806</v>
      </c>
      <c r="C149" s="935" t="s">
        <v>876</v>
      </c>
      <c r="D149" s="935" t="s">
        <v>807</v>
      </c>
      <c r="E149" s="935" t="s">
        <v>879</v>
      </c>
      <c r="F149" s="935" t="s">
        <v>824</v>
      </c>
      <c r="G149" s="935" t="s">
        <v>840</v>
      </c>
      <c r="H149" s="942"/>
      <c r="I149" s="950"/>
      <c r="J149" s="935" t="s">
        <v>824</v>
      </c>
      <c r="K149" s="935" t="s">
        <v>840</v>
      </c>
      <c r="L149" s="951">
        <v>0</v>
      </c>
      <c r="M149" s="951">
        <v>1534</v>
      </c>
      <c r="N149" s="951">
        <v>1000</v>
      </c>
    </row>
    <row r="150" spans="1:17" ht="12.75">
      <c r="A150" s="930" t="s">
        <v>855</v>
      </c>
      <c r="B150" s="934" t="s">
        <v>806</v>
      </c>
      <c r="C150" s="935" t="s">
        <v>876</v>
      </c>
      <c r="D150" s="935" t="s">
        <v>807</v>
      </c>
      <c r="E150" s="935" t="s">
        <v>879</v>
      </c>
      <c r="F150" s="935" t="s">
        <v>824</v>
      </c>
      <c r="G150" s="935"/>
      <c r="H150" s="942"/>
      <c r="I150" s="950"/>
      <c r="J150" s="935" t="s">
        <v>824</v>
      </c>
      <c r="K150" s="935" t="s">
        <v>842</v>
      </c>
      <c r="L150" s="1103">
        <v>15</v>
      </c>
      <c r="M150" s="951"/>
      <c r="N150" s="951">
        <v>100</v>
      </c>
      <c r="Q150" s="948"/>
    </row>
    <row r="151" spans="1:14" ht="19.5">
      <c r="A151" s="930" t="s">
        <v>866</v>
      </c>
      <c r="B151" s="934" t="s">
        <v>806</v>
      </c>
      <c r="C151" s="935" t="s">
        <v>876</v>
      </c>
      <c r="D151" s="935" t="s">
        <v>807</v>
      </c>
      <c r="E151" s="935" t="s">
        <v>879</v>
      </c>
      <c r="F151" s="935" t="s">
        <v>824</v>
      </c>
      <c r="G151" s="935" t="s">
        <v>53</v>
      </c>
      <c r="H151" s="942"/>
      <c r="I151" s="912"/>
      <c r="J151" s="935" t="s">
        <v>824</v>
      </c>
      <c r="K151" s="935" t="s">
        <v>53</v>
      </c>
      <c r="L151" s="937"/>
      <c r="M151" s="937"/>
      <c r="N151" s="937"/>
    </row>
    <row r="152" spans="1:14" ht="22.5" customHeight="1">
      <c r="A152" s="930" t="s">
        <v>867</v>
      </c>
      <c r="B152" s="934" t="s">
        <v>806</v>
      </c>
      <c r="C152" s="935" t="s">
        <v>876</v>
      </c>
      <c r="D152" s="935" t="s">
        <v>807</v>
      </c>
      <c r="E152" s="935" t="s">
        <v>879</v>
      </c>
      <c r="F152" s="935" t="s">
        <v>824</v>
      </c>
      <c r="G152" s="935" t="s">
        <v>868</v>
      </c>
      <c r="H152" s="942"/>
      <c r="I152" s="912"/>
      <c r="J152" s="935" t="s">
        <v>824</v>
      </c>
      <c r="K152" s="935" t="s">
        <v>868</v>
      </c>
      <c r="L152" s="937">
        <v>70</v>
      </c>
      <c r="M152" s="937"/>
      <c r="N152" s="937"/>
    </row>
    <row r="153" spans="1:14" ht="21.75" customHeight="1">
      <c r="A153" s="930" t="s">
        <v>869</v>
      </c>
      <c r="B153" s="934" t="s">
        <v>806</v>
      </c>
      <c r="C153" s="935" t="s">
        <v>876</v>
      </c>
      <c r="D153" s="935" t="s">
        <v>807</v>
      </c>
      <c r="E153" s="935" t="s">
        <v>879</v>
      </c>
      <c r="F153" s="935" t="s">
        <v>824</v>
      </c>
      <c r="G153" s="935" t="s">
        <v>870</v>
      </c>
      <c r="H153" s="942"/>
      <c r="I153" s="912"/>
      <c r="J153" s="935" t="s">
        <v>824</v>
      </c>
      <c r="K153" s="935" t="s">
        <v>870</v>
      </c>
      <c r="L153" s="937"/>
      <c r="M153" s="937"/>
      <c r="N153" s="937"/>
    </row>
    <row r="154" spans="1:14" ht="22.5" customHeight="1" hidden="1">
      <c r="A154" s="929" t="s">
        <v>89</v>
      </c>
      <c r="B154" s="934" t="s">
        <v>806</v>
      </c>
      <c r="C154" s="935" t="s">
        <v>876</v>
      </c>
      <c r="D154" s="935" t="s">
        <v>807</v>
      </c>
      <c r="E154" s="935" t="s">
        <v>879</v>
      </c>
      <c r="F154" s="935" t="s">
        <v>824</v>
      </c>
      <c r="G154" s="935" t="s">
        <v>871</v>
      </c>
      <c r="H154" s="942"/>
      <c r="I154" s="912"/>
      <c r="J154" s="935" t="s">
        <v>824</v>
      </c>
      <c r="K154" s="935" t="s">
        <v>846</v>
      </c>
      <c r="L154" s="937">
        <f>L163</f>
        <v>0</v>
      </c>
      <c r="M154" s="937"/>
      <c r="N154" s="937"/>
    </row>
    <row r="155" spans="1:14" ht="12.75">
      <c r="A155" s="929" t="s">
        <v>829</v>
      </c>
      <c r="B155" s="934" t="s">
        <v>806</v>
      </c>
      <c r="C155" s="935" t="s">
        <v>876</v>
      </c>
      <c r="D155" s="935" t="s">
        <v>807</v>
      </c>
      <c r="E155" s="935" t="s">
        <v>879</v>
      </c>
      <c r="F155" s="935" t="s">
        <v>824</v>
      </c>
      <c r="G155" s="935" t="s">
        <v>830</v>
      </c>
      <c r="H155" s="942"/>
      <c r="I155" s="912"/>
      <c r="J155" s="935" t="s">
        <v>824</v>
      </c>
      <c r="K155" s="935" t="s">
        <v>830</v>
      </c>
      <c r="L155" s="937"/>
      <c r="M155" s="937"/>
      <c r="N155" s="937"/>
    </row>
    <row r="156" spans="1:14" ht="22.5" customHeight="1" hidden="1">
      <c r="A156" s="930" t="s">
        <v>880</v>
      </c>
      <c r="B156" s="934" t="s">
        <v>806</v>
      </c>
      <c r="C156" s="935" t="s">
        <v>876</v>
      </c>
      <c r="D156" s="935" t="s">
        <v>807</v>
      </c>
      <c r="E156" s="935" t="s">
        <v>879</v>
      </c>
      <c r="F156" s="935" t="s">
        <v>824</v>
      </c>
      <c r="G156" s="935" t="s">
        <v>846</v>
      </c>
      <c r="H156" s="942"/>
      <c r="I156" s="912"/>
      <c r="J156" s="935" t="s">
        <v>824</v>
      </c>
      <c r="K156" s="935" t="s">
        <v>846</v>
      </c>
      <c r="L156" s="937">
        <f>L158</f>
        <v>0</v>
      </c>
      <c r="M156" s="937">
        <f>M158</f>
        <v>0</v>
      </c>
      <c r="N156" s="937">
        <f>N158</f>
        <v>0</v>
      </c>
    </row>
    <row r="157" spans="1:14" ht="12.75" customHeight="1" hidden="1">
      <c r="A157" s="930" t="s">
        <v>90</v>
      </c>
      <c r="B157" s="934" t="s">
        <v>806</v>
      </c>
      <c r="C157" s="935" t="s">
        <v>876</v>
      </c>
      <c r="D157" s="935" t="s">
        <v>807</v>
      </c>
      <c r="E157" s="935" t="s">
        <v>879</v>
      </c>
      <c r="F157" s="935" t="s">
        <v>824</v>
      </c>
      <c r="G157" s="935" t="s">
        <v>847</v>
      </c>
      <c r="H157" s="942"/>
      <c r="I157" s="912"/>
      <c r="J157" s="935" t="s">
        <v>824</v>
      </c>
      <c r="K157" s="935" t="s">
        <v>847</v>
      </c>
      <c r="L157" s="937"/>
      <c r="M157" s="937"/>
      <c r="N157" s="937"/>
    </row>
    <row r="158" spans="1:14" ht="12.75" customHeight="1" hidden="1">
      <c r="A158" s="930" t="s">
        <v>91</v>
      </c>
      <c r="B158" s="934" t="s">
        <v>806</v>
      </c>
      <c r="C158" s="935" t="s">
        <v>876</v>
      </c>
      <c r="D158" s="935" t="s">
        <v>807</v>
      </c>
      <c r="E158" s="935" t="s">
        <v>879</v>
      </c>
      <c r="F158" s="935" t="s">
        <v>824</v>
      </c>
      <c r="G158" s="935" t="s">
        <v>848</v>
      </c>
      <c r="H158" s="942"/>
      <c r="I158" s="912"/>
      <c r="J158" s="935" t="s">
        <v>824</v>
      </c>
      <c r="K158" s="935" t="s">
        <v>848</v>
      </c>
      <c r="L158" s="937"/>
      <c r="M158" s="937"/>
      <c r="N158" s="937"/>
    </row>
    <row r="159" spans="1:14" ht="12.75" customHeight="1" hidden="1">
      <c r="A159" s="938" t="s">
        <v>964</v>
      </c>
      <c r="B159" s="934" t="s">
        <v>806</v>
      </c>
      <c r="C159" s="935" t="s">
        <v>876</v>
      </c>
      <c r="D159" s="935" t="s">
        <v>807</v>
      </c>
      <c r="E159" s="935" t="s">
        <v>965</v>
      </c>
      <c r="F159" s="935"/>
      <c r="G159" s="935"/>
      <c r="H159" s="942"/>
      <c r="I159" s="912"/>
      <c r="J159" s="935" t="s">
        <v>824</v>
      </c>
      <c r="K159" s="935" t="s">
        <v>804</v>
      </c>
      <c r="L159" s="940">
        <f>L162</f>
        <v>0</v>
      </c>
      <c r="M159" s="940">
        <f>M162</f>
        <v>23270.7</v>
      </c>
      <c r="N159" s="940">
        <f>N162</f>
        <v>23270.7</v>
      </c>
    </row>
    <row r="160" spans="1:14" ht="22.5" customHeight="1" hidden="1">
      <c r="A160" s="930" t="s">
        <v>880</v>
      </c>
      <c r="B160" s="934" t="s">
        <v>806</v>
      </c>
      <c r="C160" s="935" t="s">
        <v>876</v>
      </c>
      <c r="D160" s="935" t="s">
        <v>807</v>
      </c>
      <c r="E160" s="935" t="s">
        <v>965</v>
      </c>
      <c r="F160" s="935"/>
      <c r="G160" s="935"/>
      <c r="H160" s="942"/>
      <c r="I160" s="912"/>
      <c r="J160" s="935" t="s">
        <v>824</v>
      </c>
      <c r="K160" s="935" t="s">
        <v>846</v>
      </c>
      <c r="L160" s="937">
        <f>L162</f>
        <v>0</v>
      </c>
      <c r="M160" s="937">
        <f>M162</f>
        <v>23270.7</v>
      </c>
      <c r="N160" s="937">
        <f>N162</f>
        <v>23270.7</v>
      </c>
    </row>
    <row r="161" spans="1:14" ht="22.5" customHeight="1" hidden="1">
      <c r="A161" s="930" t="s">
        <v>90</v>
      </c>
      <c r="B161" s="934" t="s">
        <v>806</v>
      </c>
      <c r="C161" s="935" t="s">
        <v>876</v>
      </c>
      <c r="D161" s="935" t="s">
        <v>807</v>
      </c>
      <c r="E161" s="935" t="s">
        <v>965</v>
      </c>
      <c r="F161" s="935"/>
      <c r="G161" s="935"/>
      <c r="H161" s="942"/>
      <c r="I161" s="912"/>
      <c r="J161" s="935" t="s">
        <v>824</v>
      </c>
      <c r="K161" s="935" t="s">
        <v>847</v>
      </c>
      <c r="L161" s="937"/>
      <c r="M161" s="937"/>
      <c r="N161" s="937"/>
    </row>
    <row r="162" spans="1:14" ht="12.75" customHeight="1" hidden="1">
      <c r="A162" s="930" t="s">
        <v>91</v>
      </c>
      <c r="B162" s="934" t="s">
        <v>806</v>
      </c>
      <c r="C162" s="935" t="s">
        <v>876</v>
      </c>
      <c r="D162" s="935" t="s">
        <v>807</v>
      </c>
      <c r="E162" s="935" t="s">
        <v>881</v>
      </c>
      <c r="F162" s="935"/>
      <c r="G162" s="935"/>
      <c r="H162" s="942"/>
      <c r="I162" s="912"/>
      <c r="J162" s="935" t="s">
        <v>34</v>
      </c>
      <c r="K162" s="935" t="s">
        <v>848</v>
      </c>
      <c r="L162" s="937"/>
      <c r="M162" s="937">
        <v>23270.7</v>
      </c>
      <c r="N162" s="937">
        <v>23270.7</v>
      </c>
    </row>
    <row r="163" spans="1:14" ht="22.5" customHeight="1" hidden="1">
      <c r="A163" s="930" t="s">
        <v>90</v>
      </c>
      <c r="B163" s="934" t="s">
        <v>806</v>
      </c>
      <c r="C163" s="935" t="s">
        <v>876</v>
      </c>
      <c r="D163" s="935" t="s">
        <v>807</v>
      </c>
      <c r="E163" s="935" t="s">
        <v>879</v>
      </c>
      <c r="F163" s="935" t="s">
        <v>824</v>
      </c>
      <c r="G163" s="935"/>
      <c r="H163" s="942"/>
      <c r="I163" s="912"/>
      <c r="J163" s="935"/>
      <c r="K163" s="935" t="s">
        <v>847</v>
      </c>
      <c r="L163" s="937">
        <v>0</v>
      </c>
      <c r="M163" s="937"/>
      <c r="N163" s="937"/>
    </row>
    <row r="164" spans="1:14" ht="22.5" customHeight="1">
      <c r="A164" s="930" t="s">
        <v>828</v>
      </c>
      <c r="B164" s="934" t="s">
        <v>806</v>
      </c>
      <c r="C164" s="935" t="s">
        <v>876</v>
      </c>
      <c r="D164" s="935" t="s">
        <v>807</v>
      </c>
      <c r="E164" s="935" t="s">
        <v>965</v>
      </c>
      <c r="F164" s="935" t="s">
        <v>824</v>
      </c>
      <c r="G164" s="935" t="s">
        <v>42</v>
      </c>
      <c r="H164" s="942"/>
      <c r="I164" s="950"/>
      <c r="J164" s="935" t="s">
        <v>824</v>
      </c>
      <c r="K164" s="935" t="s">
        <v>804</v>
      </c>
      <c r="L164" s="1101">
        <f>L165</f>
        <v>0</v>
      </c>
      <c r="M164" s="937"/>
      <c r="N164" s="937"/>
    </row>
    <row r="165" spans="1:14" ht="22.5" customHeight="1">
      <c r="A165" s="930" t="s">
        <v>89</v>
      </c>
      <c r="B165" s="934" t="s">
        <v>806</v>
      </c>
      <c r="C165" s="935" t="s">
        <v>876</v>
      </c>
      <c r="D165" s="935" t="s">
        <v>807</v>
      </c>
      <c r="E165" s="935" t="s">
        <v>965</v>
      </c>
      <c r="F165" s="935" t="s">
        <v>824</v>
      </c>
      <c r="G165" s="935"/>
      <c r="H165" s="942"/>
      <c r="I165" s="912"/>
      <c r="J165" s="935"/>
      <c r="K165" s="935" t="s">
        <v>846</v>
      </c>
      <c r="L165" s="1101">
        <f>L166</f>
        <v>0</v>
      </c>
      <c r="M165" s="937"/>
      <c r="N165" s="937"/>
    </row>
    <row r="166" spans="1:14" ht="22.5" customHeight="1">
      <c r="A166" s="930" t="s">
        <v>91</v>
      </c>
      <c r="B166" s="934" t="s">
        <v>806</v>
      </c>
      <c r="C166" s="935" t="s">
        <v>876</v>
      </c>
      <c r="D166" s="935" t="s">
        <v>807</v>
      </c>
      <c r="E166" s="935" t="s">
        <v>965</v>
      </c>
      <c r="F166" s="935" t="s">
        <v>824</v>
      </c>
      <c r="G166" s="935"/>
      <c r="H166" s="942"/>
      <c r="I166" s="912"/>
      <c r="J166" s="935"/>
      <c r="K166" s="935" t="s">
        <v>848</v>
      </c>
      <c r="L166" s="1101">
        <v>0</v>
      </c>
      <c r="M166" s="937"/>
      <c r="N166" s="937"/>
    </row>
    <row r="167" spans="1:14" ht="22.5" customHeight="1">
      <c r="A167" s="963" t="s">
        <v>882</v>
      </c>
      <c r="B167" s="944" t="s">
        <v>806</v>
      </c>
      <c r="C167" s="945" t="s">
        <v>876</v>
      </c>
      <c r="D167" s="945" t="s">
        <v>802</v>
      </c>
      <c r="E167" s="945" t="s">
        <v>966</v>
      </c>
      <c r="F167" s="945" t="s">
        <v>804</v>
      </c>
      <c r="G167" s="945" t="s">
        <v>804</v>
      </c>
      <c r="H167" s="946"/>
      <c r="I167" s="947"/>
      <c r="J167" s="945" t="s">
        <v>804</v>
      </c>
      <c r="K167" s="945" t="s">
        <v>804</v>
      </c>
      <c r="L167" s="1104">
        <f>L172+L178+L182+L195</f>
        <v>70</v>
      </c>
      <c r="M167" s="948" t="e">
        <f>M172+M182+M190+M168</f>
        <v>#REF!</v>
      </c>
      <c r="N167" s="948" t="e">
        <f>N172+N182+N190+N168</f>
        <v>#REF!</v>
      </c>
    </row>
    <row r="168" spans="1:14" ht="12.75">
      <c r="A168" s="953" t="s">
        <v>967</v>
      </c>
      <c r="B168" s="934" t="s">
        <v>806</v>
      </c>
      <c r="C168" s="935" t="s">
        <v>876</v>
      </c>
      <c r="D168" s="935" t="s">
        <v>850</v>
      </c>
      <c r="E168" s="935" t="s">
        <v>884</v>
      </c>
      <c r="F168" s="935"/>
      <c r="G168" s="935"/>
      <c r="H168" s="942"/>
      <c r="I168" s="950"/>
      <c r="J168" s="935" t="s">
        <v>824</v>
      </c>
      <c r="K168" s="935" t="s">
        <v>804</v>
      </c>
      <c r="L168" s="951"/>
      <c r="M168" s="951" t="e">
        <f>M169</f>
        <v>#REF!</v>
      </c>
      <c r="N168" s="951" t="e">
        <f>N169</f>
        <v>#REF!</v>
      </c>
    </row>
    <row r="169" spans="1:14" ht="21.75" customHeight="1" hidden="1">
      <c r="A169" s="930" t="s">
        <v>828</v>
      </c>
      <c r="B169" s="934" t="s">
        <v>806</v>
      </c>
      <c r="C169" s="935" t="s">
        <v>876</v>
      </c>
      <c r="D169" s="935" t="s">
        <v>850</v>
      </c>
      <c r="E169" s="935" t="s">
        <v>884</v>
      </c>
      <c r="F169" s="935"/>
      <c r="G169" s="935"/>
      <c r="H169" s="942"/>
      <c r="I169" s="950"/>
      <c r="J169" s="935" t="s">
        <v>824</v>
      </c>
      <c r="K169" s="935" t="s">
        <v>42</v>
      </c>
      <c r="L169" s="951"/>
      <c r="M169" s="951" t="e">
        <f>M170</f>
        <v>#REF!</v>
      </c>
      <c r="N169" s="951" t="e">
        <f>N170</f>
        <v>#REF!</v>
      </c>
    </row>
    <row r="170" spans="1:14" ht="22.5" customHeight="1" hidden="1">
      <c r="A170" s="930" t="s">
        <v>834</v>
      </c>
      <c r="B170" s="934" t="s">
        <v>806</v>
      </c>
      <c r="C170" s="935" t="s">
        <v>876</v>
      </c>
      <c r="D170" s="935" t="s">
        <v>850</v>
      </c>
      <c r="E170" s="935" t="s">
        <v>884</v>
      </c>
      <c r="F170" s="935"/>
      <c r="G170" s="935"/>
      <c r="H170" s="942"/>
      <c r="I170" s="950"/>
      <c r="J170" s="935" t="s">
        <v>824</v>
      </c>
      <c r="K170" s="935" t="s">
        <v>835</v>
      </c>
      <c r="L170" s="951"/>
      <c r="M170" s="951" t="e">
        <f>M171+#REF!</f>
        <v>#REF!</v>
      </c>
      <c r="N170" s="951" t="e">
        <f>N171+#REF!</f>
        <v>#REF!</v>
      </c>
    </row>
    <row r="171" spans="1:14" ht="21.75" customHeight="1" hidden="1">
      <c r="A171" s="930" t="s">
        <v>841</v>
      </c>
      <c r="B171" s="934" t="s">
        <v>806</v>
      </c>
      <c r="C171" s="935" t="s">
        <v>876</v>
      </c>
      <c r="D171" s="935" t="s">
        <v>850</v>
      </c>
      <c r="E171" s="935" t="s">
        <v>884</v>
      </c>
      <c r="F171" s="935"/>
      <c r="G171" s="935"/>
      <c r="H171" s="942"/>
      <c r="I171" s="950"/>
      <c r="J171" s="935" t="s">
        <v>824</v>
      </c>
      <c r="K171" s="935" t="s">
        <v>840</v>
      </c>
      <c r="L171" s="951"/>
      <c r="M171" s="951">
        <v>300</v>
      </c>
      <c r="N171" s="951">
        <v>510</v>
      </c>
    </row>
    <row r="172" spans="1:14" ht="22.5" customHeight="1" hidden="1">
      <c r="A172" s="953" t="s">
        <v>883</v>
      </c>
      <c r="B172" s="982" t="s">
        <v>806</v>
      </c>
      <c r="C172" s="1049" t="s">
        <v>876</v>
      </c>
      <c r="D172" s="1049" t="s">
        <v>850</v>
      </c>
      <c r="E172" s="1049" t="s">
        <v>884</v>
      </c>
      <c r="F172" s="1049" t="s">
        <v>34</v>
      </c>
      <c r="G172" s="1049" t="s">
        <v>804</v>
      </c>
      <c r="H172" s="1105"/>
      <c r="I172" s="901"/>
      <c r="J172" s="1049" t="s">
        <v>804</v>
      </c>
      <c r="K172" s="1049" t="s">
        <v>804</v>
      </c>
      <c r="L172" s="940">
        <f>L173</f>
        <v>70</v>
      </c>
      <c r="M172" s="940">
        <f>M175+M177</f>
        <v>1063</v>
      </c>
      <c r="N172" s="940">
        <f>N175+N177</f>
        <v>1033.7</v>
      </c>
    </row>
    <row r="173" spans="1:14" ht="12.75">
      <c r="A173" s="930" t="s">
        <v>828</v>
      </c>
      <c r="B173" s="934" t="s">
        <v>806</v>
      </c>
      <c r="C173" s="935" t="s">
        <v>876</v>
      </c>
      <c r="D173" s="935" t="s">
        <v>850</v>
      </c>
      <c r="E173" s="935" t="s">
        <v>884</v>
      </c>
      <c r="F173" s="935" t="s">
        <v>34</v>
      </c>
      <c r="G173" s="935" t="s">
        <v>42</v>
      </c>
      <c r="H173" s="942"/>
      <c r="I173" s="912"/>
      <c r="J173" s="935" t="s">
        <v>804</v>
      </c>
      <c r="K173" s="935" t="s">
        <v>42</v>
      </c>
      <c r="L173" s="940">
        <f>L174+L176</f>
        <v>70</v>
      </c>
      <c r="M173" s="940">
        <f>M175+M177</f>
        <v>1063</v>
      </c>
      <c r="N173" s="940">
        <f>N175+N177</f>
        <v>1033.7</v>
      </c>
    </row>
    <row r="174" spans="1:14" ht="12.75">
      <c r="A174" s="930" t="s">
        <v>885</v>
      </c>
      <c r="B174" s="934" t="s">
        <v>806</v>
      </c>
      <c r="C174" s="935" t="s">
        <v>876</v>
      </c>
      <c r="D174" s="935" t="s">
        <v>850</v>
      </c>
      <c r="E174" s="935" t="s">
        <v>884</v>
      </c>
      <c r="F174" s="935" t="s">
        <v>34</v>
      </c>
      <c r="G174" s="935" t="s">
        <v>835</v>
      </c>
      <c r="H174" s="942"/>
      <c r="I174" s="912"/>
      <c r="J174" s="935" t="s">
        <v>34</v>
      </c>
      <c r="K174" s="935" t="s">
        <v>835</v>
      </c>
      <c r="L174" s="940">
        <f>L175</f>
        <v>0</v>
      </c>
      <c r="M174" s="940">
        <f>M175</f>
        <v>0</v>
      </c>
      <c r="N174" s="940">
        <f>N175</f>
        <v>0</v>
      </c>
    </row>
    <row r="175" spans="1:14" ht="12.75">
      <c r="A175" s="930" t="s">
        <v>841</v>
      </c>
      <c r="B175" s="934" t="s">
        <v>806</v>
      </c>
      <c r="C175" s="935" t="s">
        <v>876</v>
      </c>
      <c r="D175" s="935" t="s">
        <v>850</v>
      </c>
      <c r="E175" s="935" t="s">
        <v>884</v>
      </c>
      <c r="F175" s="935" t="s">
        <v>34</v>
      </c>
      <c r="G175" s="935" t="s">
        <v>840</v>
      </c>
      <c r="H175" s="942"/>
      <c r="I175" s="912"/>
      <c r="J175" s="935" t="s">
        <v>34</v>
      </c>
      <c r="K175" s="935" t="s">
        <v>840</v>
      </c>
      <c r="L175" s="937"/>
      <c r="M175" s="937"/>
      <c r="N175" s="937"/>
    </row>
    <row r="176" spans="1:14" ht="19.5">
      <c r="A176" s="930" t="s">
        <v>866</v>
      </c>
      <c r="B176" s="934" t="s">
        <v>806</v>
      </c>
      <c r="C176" s="935" t="s">
        <v>876</v>
      </c>
      <c r="D176" s="935" t="s">
        <v>850</v>
      </c>
      <c r="E176" s="935" t="s">
        <v>884</v>
      </c>
      <c r="F176" s="935" t="s">
        <v>34</v>
      </c>
      <c r="G176" s="935" t="s">
        <v>53</v>
      </c>
      <c r="H176" s="942"/>
      <c r="I176" s="912"/>
      <c r="J176" s="935" t="s">
        <v>34</v>
      </c>
      <c r="K176" s="935" t="s">
        <v>53</v>
      </c>
      <c r="L176" s="940">
        <f>L177</f>
        <v>70</v>
      </c>
      <c r="M176" s="940">
        <f>M177</f>
        <v>1063</v>
      </c>
      <c r="N176" s="940">
        <f>N177</f>
        <v>1033.7</v>
      </c>
    </row>
    <row r="177" spans="1:14" ht="19.5">
      <c r="A177" s="930" t="s">
        <v>869</v>
      </c>
      <c r="B177" s="934" t="s">
        <v>806</v>
      </c>
      <c r="C177" s="935" t="s">
        <v>876</v>
      </c>
      <c r="D177" s="935" t="s">
        <v>850</v>
      </c>
      <c r="E177" s="935" t="s">
        <v>884</v>
      </c>
      <c r="F177" s="935" t="s">
        <v>34</v>
      </c>
      <c r="G177" s="935" t="s">
        <v>870</v>
      </c>
      <c r="H177" s="942"/>
      <c r="I177" s="912"/>
      <c r="J177" s="935" t="s">
        <v>34</v>
      </c>
      <c r="K177" s="935" t="s">
        <v>870</v>
      </c>
      <c r="L177" s="937">
        <v>70</v>
      </c>
      <c r="M177" s="937">
        <v>1063</v>
      </c>
      <c r="N177" s="937">
        <v>1033.7</v>
      </c>
    </row>
    <row r="178" spans="1:14" ht="12.75">
      <c r="A178" s="953" t="s">
        <v>571</v>
      </c>
      <c r="B178" s="982" t="s">
        <v>806</v>
      </c>
      <c r="C178" s="1049" t="s">
        <v>876</v>
      </c>
      <c r="D178" s="1049" t="s">
        <v>850</v>
      </c>
      <c r="E178" s="1049" t="s">
        <v>884</v>
      </c>
      <c r="F178" s="1049" t="s">
        <v>824</v>
      </c>
      <c r="G178" s="1049"/>
      <c r="H178" s="1105"/>
      <c r="I178" s="901"/>
      <c r="J178" s="1049"/>
      <c r="K178" s="1049" t="s">
        <v>804</v>
      </c>
      <c r="L178" s="1100">
        <f>L179</f>
        <v>0</v>
      </c>
      <c r="M178" s="937"/>
      <c r="N178" s="937"/>
    </row>
    <row r="179" spans="1:14" ht="12.75">
      <c r="A179" s="930" t="s">
        <v>828</v>
      </c>
      <c r="B179" s="934" t="s">
        <v>806</v>
      </c>
      <c r="C179" s="935" t="s">
        <v>876</v>
      </c>
      <c r="D179" s="935" t="s">
        <v>850</v>
      </c>
      <c r="E179" s="935" t="s">
        <v>884</v>
      </c>
      <c r="F179" s="935" t="s">
        <v>824</v>
      </c>
      <c r="G179" s="935"/>
      <c r="H179" s="942"/>
      <c r="I179" s="912"/>
      <c r="J179" s="935"/>
      <c r="K179" s="935" t="s">
        <v>42</v>
      </c>
      <c r="L179" s="1101">
        <f>L180</f>
        <v>0</v>
      </c>
      <c r="M179" s="937"/>
      <c r="N179" s="937"/>
    </row>
    <row r="180" spans="1:14" ht="12.75">
      <c r="A180" s="930" t="s">
        <v>885</v>
      </c>
      <c r="B180" s="934" t="s">
        <v>806</v>
      </c>
      <c r="C180" s="935" t="s">
        <v>876</v>
      </c>
      <c r="D180" s="935" t="s">
        <v>850</v>
      </c>
      <c r="E180" s="935" t="s">
        <v>884</v>
      </c>
      <c r="F180" s="935" t="s">
        <v>824</v>
      </c>
      <c r="G180" s="935"/>
      <c r="H180" s="942"/>
      <c r="I180" s="912"/>
      <c r="J180" s="935"/>
      <c r="K180" s="935" t="s">
        <v>835</v>
      </c>
      <c r="L180" s="1101">
        <f>L181</f>
        <v>0</v>
      </c>
      <c r="M180" s="937"/>
      <c r="N180" s="937"/>
    </row>
    <row r="181" spans="1:14" ht="12.75">
      <c r="A181" s="930" t="s">
        <v>841</v>
      </c>
      <c r="B181" s="934" t="s">
        <v>806</v>
      </c>
      <c r="C181" s="935" t="s">
        <v>876</v>
      </c>
      <c r="D181" s="935" t="s">
        <v>850</v>
      </c>
      <c r="E181" s="935" t="s">
        <v>884</v>
      </c>
      <c r="F181" s="935" t="s">
        <v>824</v>
      </c>
      <c r="G181" s="935"/>
      <c r="H181" s="942"/>
      <c r="I181" s="912"/>
      <c r="J181" s="935"/>
      <c r="K181" s="935" t="s">
        <v>840</v>
      </c>
      <c r="L181" s="1101"/>
      <c r="M181" s="937"/>
      <c r="N181" s="937"/>
    </row>
    <row r="182" spans="1:14" ht="12.75">
      <c r="A182" s="953" t="s">
        <v>887</v>
      </c>
      <c r="B182" s="934" t="s">
        <v>806</v>
      </c>
      <c r="C182" s="935" t="s">
        <v>876</v>
      </c>
      <c r="D182" s="935" t="s">
        <v>850</v>
      </c>
      <c r="E182" s="935" t="s">
        <v>886</v>
      </c>
      <c r="F182" s="935" t="s">
        <v>824</v>
      </c>
      <c r="G182" s="935" t="s">
        <v>804</v>
      </c>
      <c r="H182" s="942"/>
      <c r="I182" s="912"/>
      <c r="J182" s="935" t="s">
        <v>824</v>
      </c>
      <c r="K182" s="935" t="s">
        <v>804</v>
      </c>
      <c r="L182" s="923">
        <f>L183</f>
        <v>0</v>
      </c>
      <c r="M182" s="923">
        <f>M183</f>
        <v>42</v>
      </c>
      <c r="N182" s="923">
        <f>N183</f>
        <v>42</v>
      </c>
    </row>
    <row r="183" spans="1:14" ht="12.75">
      <c r="A183" s="930" t="s">
        <v>828</v>
      </c>
      <c r="B183" s="934" t="s">
        <v>806</v>
      </c>
      <c r="C183" s="935" t="s">
        <v>876</v>
      </c>
      <c r="D183" s="935" t="s">
        <v>850</v>
      </c>
      <c r="E183" s="935" t="s">
        <v>886</v>
      </c>
      <c r="F183" s="935" t="s">
        <v>824</v>
      </c>
      <c r="G183" s="935" t="s">
        <v>42</v>
      </c>
      <c r="H183" s="942"/>
      <c r="I183" s="912"/>
      <c r="J183" s="935" t="s">
        <v>824</v>
      </c>
      <c r="K183" s="935" t="s">
        <v>42</v>
      </c>
      <c r="L183" s="940">
        <v>0</v>
      </c>
      <c r="M183" s="940">
        <f>M184+M188</f>
        <v>42</v>
      </c>
      <c r="N183" s="940">
        <f>N184+N188</f>
        <v>42</v>
      </c>
    </row>
    <row r="184" spans="1:14" ht="12.75">
      <c r="A184" s="930" t="s">
        <v>885</v>
      </c>
      <c r="B184" s="934" t="s">
        <v>806</v>
      </c>
      <c r="C184" s="935" t="s">
        <v>876</v>
      </c>
      <c r="D184" s="935" t="s">
        <v>850</v>
      </c>
      <c r="E184" s="935" t="s">
        <v>886</v>
      </c>
      <c r="F184" s="935" t="s">
        <v>824</v>
      </c>
      <c r="G184" s="935" t="s">
        <v>835</v>
      </c>
      <c r="H184" s="942"/>
      <c r="I184" s="912"/>
      <c r="J184" s="935" t="s">
        <v>824</v>
      </c>
      <c r="K184" s="935" t="s">
        <v>835</v>
      </c>
      <c r="L184" s="937">
        <v>0</v>
      </c>
      <c r="M184" s="937">
        <f>M185</f>
        <v>22</v>
      </c>
      <c r="N184" s="937">
        <f>N185</f>
        <v>22</v>
      </c>
    </row>
    <row r="185" spans="1:14" ht="12.75">
      <c r="A185" s="930" t="s">
        <v>855</v>
      </c>
      <c r="B185" s="934" t="s">
        <v>806</v>
      </c>
      <c r="C185" s="935" t="s">
        <v>876</v>
      </c>
      <c r="D185" s="935" t="s">
        <v>850</v>
      </c>
      <c r="E185" s="935" t="s">
        <v>886</v>
      </c>
      <c r="F185" s="935" t="s">
        <v>824</v>
      </c>
      <c r="G185" s="935" t="s">
        <v>840</v>
      </c>
      <c r="H185" s="942"/>
      <c r="I185" s="912"/>
      <c r="J185" s="935" t="s">
        <v>824</v>
      </c>
      <c r="K185" s="935" t="s">
        <v>842</v>
      </c>
      <c r="L185" s="937">
        <v>0</v>
      </c>
      <c r="M185" s="937">
        <v>22</v>
      </c>
      <c r="N185" s="937">
        <v>22</v>
      </c>
    </row>
    <row r="186" spans="1:14" ht="12.75">
      <c r="A186" s="953"/>
      <c r="B186" s="934" t="s">
        <v>806</v>
      </c>
      <c r="C186" s="935" t="s">
        <v>876</v>
      </c>
      <c r="D186" s="935" t="s">
        <v>850</v>
      </c>
      <c r="E186" s="935" t="s">
        <v>886</v>
      </c>
      <c r="F186" s="935"/>
      <c r="G186" s="935"/>
      <c r="H186" s="942"/>
      <c r="I186" s="912"/>
      <c r="J186" s="935" t="s">
        <v>824</v>
      </c>
      <c r="K186" s="935" t="s">
        <v>804</v>
      </c>
      <c r="L186" s="940"/>
      <c r="M186" s="940"/>
      <c r="N186" s="940"/>
    </row>
    <row r="187" spans="1:14" ht="22.5" customHeight="1" hidden="1">
      <c r="A187" s="930"/>
      <c r="B187" s="934" t="s">
        <v>806</v>
      </c>
      <c r="C187" s="935" t="s">
        <v>876</v>
      </c>
      <c r="D187" s="935" t="s">
        <v>850</v>
      </c>
      <c r="E187" s="935" t="s">
        <v>886</v>
      </c>
      <c r="F187" s="935"/>
      <c r="G187" s="935"/>
      <c r="H187" s="942"/>
      <c r="I187" s="912"/>
      <c r="J187" s="935" t="s">
        <v>824</v>
      </c>
      <c r="K187" s="935" t="s">
        <v>42</v>
      </c>
      <c r="L187" s="940"/>
      <c r="M187" s="940"/>
      <c r="N187" s="940"/>
    </row>
    <row r="188" spans="1:14" ht="22.5" customHeight="1" hidden="1">
      <c r="A188" s="930" t="s">
        <v>866</v>
      </c>
      <c r="B188" s="934" t="s">
        <v>806</v>
      </c>
      <c r="C188" s="935" t="s">
        <v>876</v>
      </c>
      <c r="D188" s="935" t="s">
        <v>850</v>
      </c>
      <c r="E188" s="935" t="s">
        <v>886</v>
      </c>
      <c r="F188" s="935"/>
      <c r="G188" s="935"/>
      <c r="H188" s="942"/>
      <c r="I188" s="912"/>
      <c r="J188" s="935" t="s">
        <v>824</v>
      </c>
      <c r="K188" s="935" t="s">
        <v>53</v>
      </c>
      <c r="L188" s="937">
        <f>L189</f>
        <v>10</v>
      </c>
      <c r="M188" s="937">
        <f>M189</f>
        <v>20</v>
      </c>
      <c r="N188" s="937">
        <f>N189</f>
        <v>20</v>
      </c>
    </row>
    <row r="189" spans="1:14" ht="12.75" customHeight="1" hidden="1">
      <c r="A189" s="930" t="s">
        <v>869</v>
      </c>
      <c r="B189" s="934" t="s">
        <v>806</v>
      </c>
      <c r="C189" s="935" t="s">
        <v>876</v>
      </c>
      <c r="D189" s="935" t="s">
        <v>850</v>
      </c>
      <c r="E189" s="935" t="s">
        <v>886</v>
      </c>
      <c r="F189" s="935"/>
      <c r="G189" s="935"/>
      <c r="H189" s="942"/>
      <c r="I189" s="912"/>
      <c r="J189" s="935" t="s">
        <v>824</v>
      </c>
      <c r="K189" s="935" t="s">
        <v>870</v>
      </c>
      <c r="L189" s="937">
        <v>10</v>
      </c>
      <c r="M189" s="937">
        <v>20</v>
      </c>
      <c r="N189" s="937">
        <v>20</v>
      </c>
    </row>
    <row r="190" spans="1:14" ht="12.75" customHeight="1" hidden="1">
      <c r="A190" s="953" t="s">
        <v>888</v>
      </c>
      <c r="B190" s="934" t="s">
        <v>806</v>
      </c>
      <c r="C190" s="935" t="s">
        <v>876</v>
      </c>
      <c r="D190" s="935" t="s">
        <v>850</v>
      </c>
      <c r="E190" s="935" t="s">
        <v>889</v>
      </c>
      <c r="F190" s="935" t="s">
        <v>824</v>
      </c>
      <c r="G190" s="935" t="s">
        <v>804</v>
      </c>
      <c r="H190" s="942"/>
      <c r="I190" s="912"/>
      <c r="J190" s="935" t="s">
        <v>824</v>
      </c>
      <c r="K190" s="935" t="s">
        <v>804</v>
      </c>
      <c r="L190" s="940">
        <f>L191</f>
        <v>0</v>
      </c>
      <c r="M190" s="940">
        <f>M191</f>
        <v>430</v>
      </c>
      <c r="N190" s="940">
        <f>N191</f>
        <v>210</v>
      </c>
    </row>
    <row r="191" spans="1:14" ht="22.5" customHeight="1" hidden="1">
      <c r="A191" s="930" t="s">
        <v>828</v>
      </c>
      <c r="B191" s="934" t="s">
        <v>806</v>
      </c>
      <c r="C191" s="935" t="s">
        <v>876</v>
      </c>
      <c r="D191" s="935" t="s">
        <v>850</v>
      </c>
      <c r="E191" s="935" t="s">
        <v>889</v>
      </c>
      <c r="F191" s="935" t="s">
        <v>824</v>
      </c>
      <c r="G191" s="935" t="s">
        <v>42</v>
      </c>
      <c r="H191" s="942"/>
      <c r="I191" s="912"/>
      <c r="J191" s="935" t="s">
        <v>824</v>
      </c>
      <c r="K191" s="935" t="s">
        <v>42</v>
      </c>
      <c r="L191" s="940">
        <f>L192+L198+L196</f>
        <v>0</v>
      </c>
      <c r="M191" s="940">
        <f>M192+M198+M196</f>
        <v>430</v>
      </c>
      <c r="N191" s="940">
        <f>N192+N198+N196</f>
        <v>210</v>
      </c>
    </row>
    <row r="192" spans="1:14" ht="12.75" customHeight="1" hidden="1">
      <c r="A192" s="930" t="s">
        <v>890</v>
      </c>
      <c r="B192" s="934" t="s">
        <v>806</v>
      </c>
      <c r="C192" s="935" t="s">
        <v>876</v>
      </c>
      <c r="D192" s="935" t="s">
        <v>850</v>
      </c>
      <c r="E192" s="935" t="s">
        <v>889</v>
      </c>
      <c r="F192" s="935" t="s">
        <v>824</v>
      </c>
      <c r="G192" s="935" t="s">
        <v>835</v>
      </c>
      <c r="H192" s="942"/>
      <c r="I192" s="912"/>
      <c r="J192" s="935" t="s">
        <v>824</v>
      </c>
      <c r="K192" s="935" t="s">
        <v>835</v>
      </c>
      <c r="L192" s="940">
        <f>L193</f>
        <v>0</v>
      </c>
      <c r="M192" s="940">
        <f>M193+M194</f>
        <v>340</v>
      </c>
      <c r="N192" s="940">
        <f>N193+N194</f>
        <v>120</v>
      </c>
    </row>
    <row r="193" spans="1:14" ht="12.75" customHeight="1" hidden="1">
      <c r="A193" s="930" t="s">
        <v>891</v>
      </c>
      <c r="B193" s="934" t="s">
        <v>806</v>
      </c>
      <c r="C193" s="935" t="s">
        <v>876</v>
      </c>
      <c r="D193" s="935" t="s">
        <v>850</v>
      </c>
      <c r="E193" s="935" t="s">
        <v>889</v>
      </c>
      <c r="F193" s="935" t="s">
        <v>824</v>
      </c>
      <c r="G193" s="935" t="s">
        <v>840</v>
      </c>
      <c r="H193" s="942"/>
      <c r="I193" s="912"/>
      <c r="J193" s="935" t="s">
        <v>824</v>
      </c>
      <c r="K193" s="935" t="s">
        <v>840</v>
      </c>
      <c r="L193" s="940"/>
      <c r="M193" s="940">
        <v>220</v>
      </c>
      <c r="N193" s="940"/>
    </row>
    <row r="194" spans="1:14" ht="22.5" customHeight="1" hidden="1">
      <c r="A194" s="930" t="s">
        <v>855</v>
      </c>
      <c r="B194" s="934" t="s">
        <v>806</v>
      </c>
      <c r="C194" s="935" t="s">
        <v>876</v>
      </c>
      <c r="D194" s="935" t="s">
        <v>850</v>
      </c>
      <c r="E194" s="935" t="s">
        <v>889</v>
      </c>
      <c r="F194" s="935" t="s">
        <v>824</v>
      </c>
      <c r="G194" s="935" t="s">
        <v>840</v>
      </c>
      <c r="H194" s="942"/>
      <c r="I194" s="912"/>
      <c r="J194" s="935" t="s">
        <v>824</v>
      </c>
      <c r="K194" s="935" t="s">
        <v>842</v>
      </c>
      <c r="L194" s="940"/>
      <c r="M194" s="940">
        <v>120</v>
      </c>
      <c r="N194" s="940">
        <v>120</v>
      </c>
    </row>
    <row r="195" spans="1:14" ht="22.5" customHeight="1" hidden="1">
      <c r="A195" s="953" t="s">
        <v>1207</v>
      </c>
      <c r="B195" s="934" t="s">
        <v>806</v>
      </c>
      <c r="C195" s="935" t="s">
        <v>876</v>
      </c>
      <c r="D195" s="935" t="s">
        <v>850</v>
      </c>
      <c r="E195" s="935" t="s">
        <v>889</v>
      </c>
      <c r="F195" s="935" t="s">
        <v>824</v>
      </c>
      <c r="G195" s="935"/>
      <c r="H195" s="942"/>
      <c r="I195" s="912"/>
      <c r="J195" s="935"/>
      <c r="K195" s="935" t="s">
        <v>804</v>
      </c>
      <c r="L195" s="940">
        <f>L196</f>
        <v>0</v>
      </c>
      <c r="M195" s="940"/>
      <c r="N195" s="940"/>
    </row>
    <row r="196" spans="1:14" ht="22.5" customHeight="1">
      <c r="A196" s="930" t="s">
        <v>89</v>
      </c>
      <c r="B196" s="934" t="s">
        <v>806</v>
      </c>
      <c r="C196" s="935" t="s">
        <v>876</v>
      </c>
      <c r="D196" s="935" t="s">
        <v>850</v>
      </c>
      <c r="E196" s="935" t="s">
        <v>889</v>
      </c>
      <c r="F196" s="935" t="s">
        <v>824</v>
      </c>
      <c r="G196" s="935"/>
      <c r="H196" s="942"/>
      <c r="I196" s="912"/>
      <c r="J196" s="935" t="s">
        <v>824</v>
      </c>
      <c r="K196" s="935" t="s">
        <v>846</v>
      </c>
      <c r="L196" s="940">
        <f>L197</f>
        <v>0</v>
      </c>
      <c r="M196" s="940">
        <f>M197</f>
        <v>80</v>
      </c>
      <c r="N196" s="940">
        <f>N197</f>
        <v>80</v>
      </c>
    </row>
    <row r="197" spans="1:14" ht="12.75">
      <c r="A197" s="930" t="s">
        <v>91</v>
      </c>
      <c r="B197" s="934" t="s">
        <v>806</v>
      </c>
      <c r="C197" s="935" t="s">
        <v>876</v>
      </c>
      <c r="D197" s="935" t="s">
        <v>850</v>
      </c>
      <c r="E197" s="935" t="s">
        <v>889</v>
      </c>
      <c r="F197" s="935" t="s">
        <v>824</v>
      </c>
      <c r="G197" s="935"/>
      <c r="H197" s="942"/>
      <c r="I197" s="912"/>
      <c r="J197" s="935" t="s">
        <v>824</v>
      </c>
      <c r="K197" s="935" t="s">
        <v>848</v>
      </c>
      <c r="L197" s="940">
        <v>0</v>
      </c>
      <c r="M197" s="940">
        <v>80</v>
      </c>
      <c r="N197" s="940">
        <v>80</v>
      </c>
    </row>
    <row r="198" spans="1:14" ht="12" customHeight="1">
      <c r="A198" s="930" t="s">
        <v>845</v>
      </c>
      <c r="B198" s="934" t="s">
        <v>806</v>
      </c>
      <c r="C198" s="935" t="s">
        <v>876</v>
      </c>
      <c r="D198" s="935" t="s">
        <v>850</v>
      </c>
      <c r="E198" s="935" t="s">
        <v>889</v>
      </c>
      <c r="F198" s="935" t="s">
        <v>824</v>
      </c>
      <c r="G198" s="935" t="s">
        <v>846</v>
      </c>
      <c r="H198" s="942"/>
      <c r="I198" s="912"/>
      <c r="J198" s="935" t="s">
        <v>824</v>
      </c>
      <c r="K198" s="935" t="s">
        <v>846</v>
      </c>
      <c r="L198" s="937">
        <v>0</v>
      </c>
      <c r="M198" s="937">
        <f>M199+M200</f>
        <v>10</v>
      </c>
      <c r="N198" s="937">
        <f>N199+N200</f>
        <v>10</v>
      </c>
    </row>
    <row r="199" spans="1:14" ht="12.75" customHeight="1" hidden="1">
      <c r="A199" s="930" t="s">
        <v>90</v>
      </c>
      <c r="B199" s="934" t="s">
        <v>806</v>
      </c>
      <c r="C199" s="935" t="s">
        <v>876</v>
      </c>
      <c r="D199" s="935" t="s">
        <v>850</v>
      </c>
      <c r="E199" s="935" t="s">
        <v>889</v>
      </c>
      <c r="F199" s="935" t="s">
        <v>824</v>
      </c>
      <c r="G199" s="935" t="s">
        <v>847</v>
      </c>
      <c r="H199" s="942"/>
      <c r="I199" s="912"/>
      <c r="J199" s="935" t="s">
        <v>824</v>
      </c>
      <c r="K199" s="935" t="s">
        <v>847</v>
      </c>
      <c r="L199" s="937"/>
      <c r="M199" s="937"/>
      <c r="N199" s="937"/>
    </row>
    <row r="200" spans="1:14" ht="12.75" customHeight="1" hidden="1">
      <c r="A200" s="930" t="s">
        <v>91</v>
      </c>
      <c r="B200" s="934" t="s">
        <v>806</v>
      </c>
      <c r="C200" s="935" t="s">
        <v>876</v>
      </c>
      <c r="D200" s="935" t="s">
        <v>850</v>
      </c>
      <c r="E200" s="935" t="s">
        <v>889</v>
      </c>
      <c r="F200" s="935" t="s">
        <v>824</v>
      </c>
      <c r="G200" s="935" t="s">
        <v>848</v>
      </c>
      <c r="H200" s="942"/>
      <c r="I200" s="912"/>
      <c r="J200" s="935" t="s">
        <v>824</v>
      </c>
      <c r="K200" s="935" t="s">
        <v>848</v>
      </c>
      <c r="L200" s="937">
        <v>10</v>
      </c>
      <c r="M200" s="937">
        <v>10</v>
      </c>
      <c r="N200" s="937">
        <v>10</v>
      </c>
    </row>
    <row r="201" spans="1:14" ht="12.75" customHeight="1" hidden="1">
      <c r="A201" s="943" t="s">
        <v>1208</v>
      </c>
      <c r="B201" s="964">
        <v>400</v>
      </c>
      <c r="C201" s="965" t="s">
        <v>892</v>
      </c>
      <c r="D201" s="916" t="s">
        <v>893</v>
      </c>
      <c r="E201" s="916" t="s">
        <v>803</v>
      </c>
      <c r="F201" s="966" t="s">
        <v>804</v>
      </c>
      <c r="G201" s="966" t="s">
        <v>804</v>
      </c>
      <c r="H201" s="917"/>
      <c r="I201" s="917"/>
      <c r="J201" s="916" t="s">
        <v>804</v>
      </c>
      <c r="K201" s="916" t="s">
        <v>804</v>
      </c>
      <c r="L201" s="918">
        <f>L202</f>
        <v>696.6</v>
      </c>
      <c r="M201" s="967">
        <f>M202</f>
        <v>3373</v>
      </c>
      <c r="N201" s="967">
        <f>N202</f>
        <v>2115</v>
      </c>
    </row>
    <row r="202" spans="1:14" ht="19.5">
      <c r="A202" s="941" t="s">
        <v>746</v>
      </c>
      <c r="B202" s="934" t="s">
        <v>806</v>
      </c>
      <c r="C202" s="968" t="s">
        <v>894</v>
      </c>
      <c r="D202" s="968" t="s">
        <v>801</v>
      </c>
      <c r="E202" s="968" t="s">
        <v>895</v>
      </c>
      <c r="F202" s="968" t="s">
        <v>804</v>
      </c>
      <c r="G202" s="969" t="s">
        <v>804</v>
      </c>
      <c r="H202" s="922"/>
      <c r="I202" s="922"/>
      <c r="J202" s="968" t="s">
        <v>804</v>
      </c>
      <c r="K202" s="969" t="s">
        <v>804</v>
      </c>
      <c r="L202" s="972">
        <f>L203+L227</f>
        <v>696.6</v>
      </c>
      <c r="M202" s="970">
        <f>M203</f>
        <v>3373</v>
      </c>
      <c r="N202" s="970">
        <f>N203</f>
        <v>2115</v>
      </c>
    </row>
    <row r="203" spans="1:14" ht="18.75">
      <c r="A203" s="927" t="s">
        <v>61</v>
      </c>
      <c r="B203" s="934" t="s">
        <v>806</v>
      </c>
      <c r="C203" s="968" t="s">
        <v>894</v>
      </c>
      <c r="D203" s="968" t="s">
        <v>801</v>
      </c>
      <c r="E203" s="968" t="s">
        <v>896</v>
      </c>
      <c r="F203" s="968" t="s">
        <v>260</v>
      </c>
      <c r="G203" s="969" t="s">
        <v>804</v>
      </c>
      <c r="H203" s="926"/>
      <c r="I203" s="926"/>
      <c r="J203" s="968" t="s">
        <v>260</v>
      </c>
      <c r="K203" s="969" t="s">
        <v>804</v>
      </c>
      <c r="L203" s="970">
        <f>L204+L221</f>
        <v>676.6</v>
      </c>
      <c r="M203" s="970">
        <f>M205+M209+M220+M221+M226+M228</f>
        <v>3373</v>
      </c>
      <c r="N203" s="970">
        <f>N205+N209+N220+N221+N226+N228</f>
        <v>2115</v>
      </c>
    </row>
    <row r="204" spans="1:14" ht="12.75">
      <c r="A204" s="929" t="s">
        <v>812</v>
      </c>
      <c r="B204" s="934" t="s">
        <v>806</v>
      </c>
      <c r="C204" s="968" t="s">
        <v>894</v>
      </c>
      <c r="D204" s="968" t="s">
        <v>801</v>
      </c>
      <c r="E204" s="968" t="s">
        <v>896</v>
      </c>
      <c r="F204" s="968" t="s">
        <v>260</v>
      </c>
      <c r="G204" s="971">
        <v>200</v>
      </c>
      <c r="H204" s="926"/>
      <c r="I204" s="926"/>
      <c r="J204" s="968" t="s">
        <v>260</v>
      </c>
      <c r="K204" s="971">
        <v>200</v>
      </c>
      <c r="L204" s="972">
        <f>L205+L209+L216+L220+L223</f>
        <v>676.6</v>
      </c>
      <c r="M204" s="972">
        <f>M203</f>
        <v>3373</v>
      </c>
      <c r="N204" s="972">
        <f>N203</f>
        <v>2115</v>
      </c>
    </row>
    <row r="205" spans="1:14" ht="19.5">
      <c r="A205" s="929" t="s">
        <v>813</v>
      </c>
      <c r="B205" s="934" t="s">
        <v>806</v>
      </c>
      <c r="C205" s="968" t="s">
        <v>894</v>
      </c>
      <c r="D205" s="968" t="s">
        <v>801</v>
      </c>
      <c r="E205" s="968" t="s">
        <v>896</v>
      </c>
      <c r="F205" s="968" t="s">
        <v>260</v>
      </c>
      <c r="G205" s="971">
        <v>210</v>
      </c>
      <c r="H205" s="926"/>
      <c r="I205" s="926"/>
      <c r="J205" s="968" t="s">
        <v>260</v>
      </c>
      <c r="K205" s="971">
        <v>210</v>
      </c>
      <c r="L205" s="972">
        <f>L206+L207+L208</f>
        <v>591.6</v>
      </c>
      <c r="M205" s="972">
        <f>M206+M207+M208</f>
        <v>1230</v>
      </c>
      <c r="N205" s="972">
        <f>N206+N207+N208</f>
        <v>1230</v>
      </c>
    </row>
    <row r="206" spans="1:14" ht="12.75">
      <c r="A206" s="929" t="s">
        <v>815</v>
      </c>
      <c r="B206" s="934" t="s">
        <v>806</v>
      </c>
      <c r="C206" s="968" t="s">
        <v>894</v>
      </c>
      <c r="D206" s="968" t="s">
        <v>801</v>
      </c>
      <c r="E206" s="968" t="s">
        <v>896</v>
      </c>
      <c r="F206" s="968" t="s">
        <v>260</v>
      </c>
      <c r="G206" s="971">
        <v>211</v>
      </c>
      <c r="H206" s="926"/>
      <c r="I206" s="926"/>
      <c r="J206" s="968" t="s">
        <v>260</v>
      </c>
      <c r="K206" s="971">
        <v>211</v>
      </c>
      <c r="L206" s="973">
        <v>440.1</v>
      </c>
      <c r="M206" s="973">
        <v>915</v>
      </c>
      <c r="N206" s="973">
        <v>915</v>
      </c>
    </row>
    <row r="207" spans="1:14" ht="12.75">
      <c r="A207" s="929" t="s">
        <v>817</v>
      </c>
      <c r="B207" s="934" t="s">
        <v>806</v>
      </c>
      <c r="C207" s="968" t="s">
        <v>894</v>
      </c>
      <c r="D207" s="968" t="s">
        <v>801</v>
      </c>
      <c r="E207" s="968" t="s">
        <v>896</v>
      </c>
      <c r="F207" s="968" t="s">
        <v>260</v>
      </c>
      <c r="G207" s="971">
        <v>212</v>
      </c>
      <c r="H207" s="926"/>
      <c r="I207" s="926"/>
      <c r="J207" s="968" t="s">
        <v>260</v>
      </c>
      <c r="K207" s="971">
        <v>212</v>
      </c>
      <c r="L207" s="973">
        <v>1</v>
      </c>
      <c r="M207" s="973">
        <v>2</v>
      </c>
      <c r="N207" s="973">
        <v>2</v>
      </c>
    </row>
    <row r="208" spans="1:14" ht="12.75">
      <c r="A208" s="929" t="s">
        <v>819</v>
      </c>
      <c r="B208" s="934" t="s">
        <v>806</v>
      </c>
      <c r="C208" s="968" t="s">
        <v>894</v>
      </c>
      <c r="D208" s="968" t="s">
        <v>801</v>
      </c>
      <c r="E208" s="968" t="s">
        <v>896</v>
      </c>
      <c r="F208" s="968" t="s">
        <v>260</v>
      </c>
      <c r="G208" s="971">
        <v>213</v>
      </c>
      <c r="H208" s="926"/>
      <c r="I208" s="926"/>
      <c r="J208" s="968" t="s">
        <v>260</v>
      </c>
      <c r="K208" s="971">
        <v>213</v>
      </c>
      <c r="L208" s="973">
        <v>150.5</v>
      </c>
      <c r="M208" s="973">
        <v>313</v>
      </c>
      <c r="N208" s="973">
        <v>313</v>
      </c>
    </row>
    <row r="209" spans="1:14" ht="12.75">
      <c r="A209" s="929" t="s">
        <v>834</v>
      </c>
      <c r="B209" s="934" t="s">
        <v>806</v>
      </c>
      <c r="C209" s="968" t="s">
        <v>894</v>
      </c>
      <c r="D209" s="968" t="s">
        <v>801</v>
      </c>
      <c r="E209" s="968" t="s">
        <v>896</v>
      </c>
      <c r="F209" s="968" t="s">
        <v>260</v>
      </c>
      <c r="G209" s="971">
        <v>220</v>
      </c>
      <c r="H209" s="926"/>
      <c r="I209" s="926"/>
      <c r="J209" s="968" t="s">
        <v>260</v>
      </c>
      <c r="K209" s="971">
        <v>220</v>
      </c>
      <c r="L209" s="972">
        <f>L210+L211+L212+L214+L215</f>
        <v>77</v>
      </c>
      <c r="M209" s="972">
        <f>M210+M211+M212+M214+M215</f>
        <v>1762</v>
      </c>
      <c r="N209" s="972">
        <f>N210+N211+N212+N214+N215</f>
        <v>635</v>
      </c>
    </row>
    <row r="210" spans="1:14" ht="12.75">
      <c r="A210" s="929" t="s">
        <v>77</v>
      </c>
      <c r="B210" s="934" t="s">
        <v>806</v>
      </c>
      <c r="C210" s="968" t="s">
        <v>894</v>
      </c>
      <c r="D210" s="968" t="s">
        <v>801</v>
      </c>
      <c r="E210" s="968" t="s">
        <v>896</v>
      </c>
      <c r="F210" s="968" t="s">
        <v>260</v>
      </c>
      <c r="G210" s="971">
        <v>221</v>
      </c>
      <c r="H210" s="926"/>
      <c r="I210" s="926"/>
      <c r="J210" s="968" t="s">
        <v>260</v>
      </c>
      <c r="K210" s="971">
        <v>221</v>
      </c>
      <c r="L210" s="973">
        <v>4</v>
      </c>
      <c r="M210" s="973">
        <v>12</v>
      </c>
      <c r="N210" s="973">
        <v>12</v>
      </c>
    </row>
    <row r="211" spans="1:14" ht="12.75">
      <c r="A211" s="929" t="s">
        <v>837</v>
      </c>
      <c r="B211" s="934" t="s">
        <v>806</v>
      </c>
      <c r="C211" s="968" t="s">
        <v>894</v>
      </c>
      <c r="D211" s="968" t="s">
        <v>801</v>
      </c>
      <c r="E211" s="968" t="s">
        <v>896</v>
      </c>
      <c r="F211" s="968" t="s">
        <v>260</v>
      </c>
      <c r="G211" s="971">
        <v>222</v>
      </c>
      <c r="H211" s="926"/>
      <c r="I211" s="926"/>
      <c r="J211" s="968" t="s">
        <v>260</v>
      </c>
      <c r="K211" s="971">
        <v>222</v>
      </c>
      <c r="L211" s="973">
        <v>2</v>
      </c>
      <c r="M211" s="973">
        <v>6</v>
      </c>
      <c r="N211" s="973">
        <v>6</v>
      </c>
    </row>
    <row r="212" spans="1:14" ht="12.75">
      <c r="A212" s="929" t="s">
        <v>79</v>
      </c>
      <c r="B212" s="934" t="s">
        <v>806</v>
      </c>
      <c r="C212" s="968" t="s">
        <v>894</v>
      </c>
      <c r="D212" s="968" t="s">
        <v>801</v>
      </c>
      <c r="E212" s="968" t="s">
        <v>896</v>
      </c>
      <c r="F212" s="968" t="s">
        <v>260</v>
      </c>
      <c r="G212" s="971">
        <v>223</v>
      </c>
      <c r="H212" s="926"/>
      <c r="I212" s="926"/>
      <c r="J212" s="968" t="s">
        <v>260</v>
      </c>
      <c r="K212" s="971">
        <v>223</v>
      </c>
      <c r="L212" s="973">
        <v>60</v>
      </c>
      <c r="M212" s="973">
        <v>499</v>
      </c>
      <c r="N212" s="973">
        <v>500</v>
      </c>
    </row>
    <row r="213" spans="1:14" ht="12.75">
      <c r="A213" s="929" t="s">
        <v>80</v>
      </c>
      <c r="B213" s="934" t="s">
        <v>806</v>
      </c>
      <c r="C213" s="968" t="s">
        <v>894</v>
      </c>
      <c r="D213" s="968" t="s">
        <v>801</v>
      </c>
      <c r="E213" s="968" t="s">
        <v>896</v>
      </c>
      <c r="F213" s="968" t="s">
        <v>260</v>
      </c>
      <c r="G213" s="971">
        <v>224</v>
      </c>
      <c r="H213" s="926"/>
      <c r="I213" s="926"/>
      <c r="J213" s="968" t="s">
        <v>260</v>
      </c>
      <c r="K213" s="971">
        <v>224</v>
      </c>
      <c r="L213" s="973"/>
      <c r="M213" s="973"/>
      <c r="N213" s="973"/>
    </row>
    <row r="214" spans="1:14" ht="12.75">
      <c r="A214" s="929" t="s">
        <v>841</v>
      </c>
      <c r="B214" s="934" t="s">
        <v>806</v>
      </c>
      <c r="C214" s="968" t="s">
        <v>894</v>
      </c>
      <c r="D214" s="968" t="s">
        <v>801</v>
      </c>
      <c r="E214" s="968" t="s">
        <v>896</v>
      </c>
      <c r="F214" s="968" t="s">
        <v>260</v>
      </c>
      <c r="G214" s="971">
        <v>225</v>
      </c>
      <c r="H214" s="926"/>
      <c r="I214" s="926"/>
      <c r="J214" s="968" t="s">
        <v>260</v>
      </c>
      <c r="K214" s="971">
        <v>225</v>
      </c>
      <c r="L214" s="973">
        <v>6</v>
      </c>
      <c r="M214" s="973">
        <v>1045</v>
      </c>
      <c r="N214" s="973">
        <v>67</v>
      </c>
    </row>
    <row r="215" spans="1:14" ht="12.75">
      <c r="A215" s="929" t="s">
        <v>855</v>
      </c>
      <c r="B215" s="934" t="s">
        <v>806</v>
      </c>
      <c r="C215" s="968" t="s">
        <v>894</v>
      </c>
      <c r="D215" s="968" t="s">
        <v>801</v>
      </c>
      <c r="E215" s="968" t="s">
        <v>896</v>
      </c>
      <c r="F215" s="968" t="s">
        <v>260</v>
      </c>
      <c r="G215" s="971">
        <v>226</v>
      </c>
      <c r="H215" s="926"/>
      <c r="I215" s="926"/>
      <c r="J215" s="968" t="s">
        <v>260</v>
      </c>
      <c r="K215" s="971">
        <v>226</v>
      </c>
      <c r="L215" s="973">
        <v>5</v>
      </c>
      <c r="M215" s="973">
        <v>200</v>
      </c>
      <c r="N215" s="973">
        <v>50</v>
      </c>
    </row>
    <row r="216" spans="1:14" ht="12.75">
      <c r="A216" s="929" t="s">
        <v>897</v>
      </c>
      <c r="B216" s="934" t="s">
        <v>806</v>
      </c>
      <c r="C216" s="968" t="s">
        <v>894</v>
      </c>
      <c r="D216" s="968" t="s">
        <v>801</v>
      </c>
      <c r="E216" s="968" t="s">
        <v>896</v>
      </c>
      <c r="F216" s="928" t="s">
        <v>260</v>
      </c>
      <c r="G216" s="974" t="s">
        <v>53</v>
      </c>
      <c r="H216" s="926"/>
      <c r="I216" s="926"/>
      <c r="J216" s="968" t="s">
        <v>260</v>
      </c>
      <c r="K216" s="974" t="s">
        <v>53</v>
      </c>
      <c r="L216" s="973"/>
      <c r="M216" s="973"/>
      <c r="N216" s="973"/>
    </row>
    <row r="217" spans="1:14" ht="19.5">
      <c r="A217" s="929" t="s">
        <v>898</v>
      </c>
      <c r="B217" s="934" t="s">
        <v>806</v>
      </c>
      <c r="C217" s="968" t="s">
        <v>894</v>
      </c>
      <c r="D217" s="968" t="s">
        <v>801</v>
      </c>
      <c r="E217" s="968" t="s">
        <v>896</v>
      </c>
      <c r="F217" s="968" t="s">
        <v>260</v>
      </c>
      <c r="G217" s="974" t="s">
        <v>868</v>
      </c>
      <c r="H217" s="926"/>
      <c r="I217" s="926"/>
      <c r="J217" s="968" t="s">
        <v>260</v>
      </c>
      <c r="K217" s="974" t="s">
        <v>868</v>
      </c>
      <c r="L217" s="973"/>
      <c r="M217" s="973"/>
      <c r="N217" s="973"/>
    </row>
    <row r="218" spans="1:14" ht="12.75">
      <c r="A218" s="929" t="s">
        <v>84</v>
      </c>
      <c r="B218" s="934" t="s">
        <v>806</v>
      </c>
      <c r="C218" s="968" t="s">
        <v>894</v>
      </c>
      <c r="D218" s="968" t="s">
        <v>801</v>
      </c>
      <c r="E218" s="968" t="s">
        <v>896</v>
      </c>
      <c r="F218" s="968" t="s">
        <v>260</v>
      </c>
      <c r="G218" s="932">
        <v>260</v>
      </c>
      <c r="H218" s="926"/>
      <c r="I218" s="926"/>
      <c r="J218" s="968" t="s">
        <v>260</v>
      </c>
      <c r="K218" s="932">
        <v>260</v>
      </c>
      <c r="L218" s="975"/>
      <c r="M218" s="975"/>
      <c r="N218" s="975"/>
    </row>
    <row r="219" spans="1:14" ht="12.75">
      <c r="A219" s="929" t="s">
        <v>821</v>
      </c>
      <c r="B219" s="934" t="s">
        <v>806</v>
      </c>
      <c r="C219" s="968" t="s">
        <v>894</v>
      </c>
      <c r="D219" s="968" t="s">
        <v>801</v>
      </c>
      <c r="E219" s="968" t="s">
        <v>896</v>
      </c>
      <c r="F219" s="968" t="s">
        <v>260</v>
      </c>
      <c r="G219" s="932">
        <v>262</v>
      </c>
      <c r="H219" s="926"/>
      <c r="I219" s="926"/>
      <c r="J219" s="968" t="s">
        <v>260</v>
      </c>
      <c r="K219" s="932">
        <v>262</v>
      </c>
      <c r="L219" s="975"/>
      <c r="M219" s="975"/>
      <c r="N219" s="975"/>
    </row>
    <row r="220" spans="1:14" ht="12.75">
      <c r="A220" s="929" t="s">
        <v>88</v>
      </c>
      <c r="B220" s="934" t="s">
        <v>806</v>
      </c>
      <c r="C220" s="968" t="s">
        <v>894</v>
      </c>
      <c r="D220" s="968" t="s">
        <v>801</v>
      </c>
      <c r="E220" s="968" t="s">
        <v>896</v>
      </c>
      <c r="F220" s="968" t="s">
        <v>260</v>
      </c>
      <c r="G220" s="971">
        <v>290</v>
      </c>
      <c r="H220" s="926"/>
      <c r="I220" s="926"/>
      <c r="J220" s="968" t="s">
        <v>260</v>
      </c>
      <c r="K220" s="971">
        <v>290</v>
      </c>
      <c r="L220" s="973">
        <v>5</v>
      </c>
      <c r="M220" s="973">
        <v>110</v>
      </c>
      <c r="N220" s="973">
        <v>100</v>
      </c>
    </row>
    <row r="221" spans="1:14" ht="12.75">
      <c r="A221" s="929" t="s">
        <v>845</v>
      </c>
      <c r="B221" s="934" t="s">
        <v>806</v>
      </c>
      <c r="C221" s="968" t="s">
        <v>894</v>
      </c>
      <c r="D221" s="968" t="s">
        <v>801</v>
      </c>
      <c r="E221" s="968" t="s">
        <v>896</v>
      </c>
      <c r="F221" s="968" t="s">
        <v>260</v>
      </c>
      <c r="G221" s="971">
        <v>300</v>
      </c>
      <c r="H221" s="926"/>
      <c r="I221" s="926"/>
      <c r="J221" s="968" t="s">
        <v>260</v>
      </c>
      <c r="K221" s="971">
        <v>300</v>
      </c>
      <c r="L221" s="973">
        <v>0</v>
      </c>
      <c r="M221" s="973">
        <f>M222+M223</f>
        <v>221</v>
      </c>
      <c r="N221" s="973">
        <f>N222+N223</f>
        <v>100</v>
      </c>
    </row>
    <row r="222" spans="1:14" ht="12.75">
      <c r="A222" s="929" t="s">
        <v>90</v>
      </c>
      <c r="B222" s="934" t="s">
        <v>806</v>
      </c>
      <c r="C222" s="968" t="s">
        <v>894</v>
      </c>
      <c r="D222" s="968" t="s">
        <v>801</v>
      </c>
      <c r="E222" s="968" t="s">
        <v>896</v>
      </c>
      <c r="F222" s="968" t="s">
        <v>260</v>
      </c>
      <c r="G222" s="971">
        <v>310</v>
      </c>
      <c r="H222" s="926"/>
      <c r="I222" s="926"/>
      <c r="J222" s="968" t="s">
        <v>260</v>
      </c>
      <c r="K222" s="971">
        <v>310</v>
      </c>
      <c r="L222" s="973"/>
      <c r="M222" s="973">
        <v>120</v>
      </c>
      <c r="N222" s="973">
        <v>50</v>
      </c>
    </row>
    <row r="223" spans="1:14" ht="12.75">
      <c r="A223" s="976" t="s">
        <v>91</v>
      </c>
      <c r="B223" s="934" t="s">
        <v>806</v>
      </c>
      <c r="C223" s="928" t="s">
        <v>894</v>
      </c>
      <c r="D223" s="928" t="s">
        <v>801</v>
      </c>
      <c r="E223" s="928" t="s">
        <v>896</v>
      </c>
      <c r="F223" s="977" t="s">
        <v>260</v>
      </c>
      <c r="G223" s="978">
        <v>340</v>
      </c>
      <c r="H223" s="942"/>
      <c r="I223" s="942"/>
      <c r="J223" s="977" t="s">
        <v>260</v>
      </c>
      <c r="K223" s="978">
        <v>340</v>
      </c>
      <c r="L223" s="979">
        <v>3</v>
      </c>
      <c r="M223" s="979">
        <v>101</v>
      </c>
      <c r="N223" s="979">
        <v>50</v>
      </c>
    </row>
    <row r="224" spans="1:14" ht="12.75">
      <c r="A224" s="976" t="s">
        <v>899</v>
      </c>
      <c r="B224" s="934" t="s">
        <v>806</v>
      </c>
      <c r="C224" s="928" t="s">
        <v>894</v>
      </c>
      <c r="D224" s="928" t="s">
        <v>801</v>
      </c>
      <c r="E224" s="928" t="s">
        <v>900</v>
      </c>
      <c r="F224" s="928"/>
      <c r="G224" s="932"/>
      <c r="H224" s="926"/>
      <c r="I224" s="926"/>
      <c r="J224" s="928" t="s">
        <v>901</v>
      </c>
      <c r="K224" s="980">
        <v>0</v>
      </c>
      <c r="L224" s="975"/>
      <c r="M224" s="981"/>
      <c r="N224" s="981"/>
    </row>
    <row r="225" spans="1:14" ht="12.75">
      <c r="A225" s="929" t="s">
        <v>834</v>
      </c>
      <c r="B225" s="934" t="s">
        <v>806</v>
      </c>
      <c r="C225" s="928" t="s">
        <v>894</v>
      </c>
      <c r="D225" s="928" t="s">
        <v>801</v>
      </c>
      <c r="E225" s="928" t="s">
        <v>900</v>
      </c>
      <c r="F225" s="928"/>
      <c r="G225" s="932"/>
      <c r="H225" s="926"/>
      <c r="I225" s="926"/>
      <c r="J225" s="928" t="s">
        <v>901</v>
      </c>
      <c r="K225" s="932">
        <v>220</v>
      </c>
      <c r="L225" s="975"/>
      <c r="M225" s="981"/>
      <c r="N225" s="981"/>
    </row>
    <row r="226" spans="1:14" ht="12.75">
      <c r="A226" s="929" t="s">
        <v>841</v>
      </c>
      <c r="B226" s="934" t="s">
        <v>806</v>
      </c>
      <c r="C226" s="928" t="s">
        <v>894</v>
      </c>
      <c r="D226" s="928" t="s">
        <v>801</v>
      </c>
      <c r="E226" s="928" t="s">
        <v>900</v>
      </c>
      <c r="F226" s="928"/>
      <c r="G226" s="932"/>
      <c r="H226" s="926"/>
      <c r="I226" s="926"/>
      <c r="J226" s="928" t="s">
        <v>901</v>
      </c>
      <c r="K226" s="932">
        <v>225</v>
      </c>
      <c r="L226" s="975"/>
      <c r="M226" s="981"/>
      <c r="N226" s="981"/>
    </row>
    <row r="227" spans="1:14" ht="18.75">
      <c r="A227" s="919" t="s">
        <v>968</v>
      </c>
      <c r="B227" s="982" t="s">
        <v>806</v>
      </c>
      <c r="C227" s="983" t="s">
        <v>894</v>
      </c>
      <c r="D227" s="983" t="s">
        <v>801</v>
      </c>
      <c r="E227" s="983" t="s">
        <v>896</v>
      </c>
      <c r="F227" s="983"/>
      <c r="G227" s="984"/>
      <c r="H227" s="985"/>
      <c r="I227" s="985"/>
      <c r="J227" s="983" t="s">
        <v>519</v>
      </c>
      <c r="K227" s="986" t="s">
        <v>804</v>
      </c>
      <c r="L227" s="988">
        <f>L228+L232+L230+L231+L234</f>
        <v>20</v>
      </c>
      <c r="M227" s="987">
        <v>50</v>
      </c>
      <c r="N227" s="988">
        <v>50</v>
      </c>
    </row>
    <row r="228" spans="1:14" ht="12.75">
      <c r="A228" s="929" t="s">
        <v>812</v>
      </c>
      <c r="B228" s="982" t="s">
        <v>806</v>
      </c>
      <c r="C228" s="983" t="s">
        <v>894</v>
      </c>
      <c r="D228" s="983" t="s">
        <v>801</v>
      </c>
      <c r="E228" s="983" t="s">
        <v>896</v>
      </c>
      <c r="F228" s="983"/>
      <c r="G228" s="984"/>
      <c r="H228" s="985"/>
      <c r="I228" s="985"/>
      <c r="J228" s="983" t="s">
        <v>519</v>
      </c>
      <c r="K228" s="989">
        <v>200</v>
      </c>
      <c r="L228" s="975">
        <v>0</v>
      </c>
      <c r="M228" s="990">
        <f>M229+M231+M232</f>
        <v>50</v>
      </c>
      <c r="N228" s="975">
        <f>N229+N231+N232</f>
        <v>50</v>
      </c>
    </row>
    <row r="229" spans="1:14" ht="12.75">
      <c r="A229" s="929" t="s">
        <v>834</v>
      </c>
      <c r="B229" s="982" t="s">
        <v>806</v>
      </c>
      <c r="C229" s="983" t="s">
        <v>894</v>
      </c>
      <c r="D229" s="983" t="s">
        <v>801</v>
      </c>
      <c r="E229" s="983" t="s">
        <v>896</v>
      </c>
      <c r="F229" s="983"/>
      <c r="G229" s="984"/>
      <c r="H229" s="985"/>
      <c r="I229" s="985"/>
      <c r="J229" s="983" t="s">
        <v>519</v>
      </c>
      <c r="K229" s="989">
        <v>220</v>
      </c>
      <c r="L229" s="975">
        <v>0</v>
      </c>
      <c r="M229" s="990">
        <f>M230</f>
        <v>14</v>
      </c>
      <c r="N229" s="973">
        <f>N230</f>
        <v>14</v>
      </c>
    </row>
    <row r="230" spans="1:14" ht="12.75">
      <c r="A230" s="929" t="s">
        <v>74</v>
      </c>
      <c r="B230" s="982" t="s">
        <v>806</v>
      </c>
      <c r="C230" s="983" t="s">
        <v>894</v>
      </c>
      <c r="D230" s="983" t="s">
        <v>801</v>
      </c>
      <c r="E230" s="983" t="s">
        <v>896</v>
      </c>
      <c r="F230" s="983" t="s">
        <v>519</v>
      </c>
      <c r="G230" s="984"/>
      <c r="H230" s="985"/>
      <c r="I230" s="985"/>
      <c r="J230" s="983" t="s">
        <v>519</v>
      </c>
      <c r="K230" s="989">
        <v>211</v>
      </c>
      <c r="L230" s="1130">
        <v>12.564</v>
      </c>
      <c r="M230" s="990">
        <v>14</v>
      </c>
      <c r="N230" s="973">
        <v>14</v>
      </c>
    </row>
    <row r="231" spans="1:14" ht="12.75">
      <c r="A231" s="929" t="s">
        <v>1279</v>
      </c>
      <c r="B231" s="982" t="s">
        <v>806</v>
      </c>
      <c r="C231" s="983" t="s">
        <v>894</v>
      </c>
      <c r="D231" s="983" t="s">
        <v>801</v>
      </c>
      <c r="E231" s="983" t="s">
        <v>896</v>
      </c>
      <c r="F231" s="983" t="s">
        <v>519</v>
      </c>
      <c r="G231" s="984"/>
      <c r="H231" s="985"/>
      <c r="I231" s="985"/>
      <c r="J231" s="983" t="s">
        <v>519</v>
      </c>
      <c r="K231" s="989">
        <v>213</v>
      </c>
      <c r="L231" s="1130">
        <v>5.436</v>
      </c>
      <c r="M231" s="990">
        <v>10</v>
      </c>
      <c r="N231" s="973">
        <v>10</v>
      </c>
    </row>
    <row r="232" spans="1:14" ht="12.75" customHeight="1">
      <c r="A232" s="929" t="s">
        <v>845</v>
      </c>
      <c r="B232" s="982" t="s">
        <v>806</v>
      </c>
      <c r="C232" s="983" t="s">
        <v>894</v>
      </c>
      <c r="D232" s="983" t="s">
        <v>801</v>
      </c>
      <c r="E232" s="983" t="s">
        <v>896</v>
      </c>
      <c r="F232" s="983" t="s">
        <v>519</v>
      </c>
      <c r="G232" s="984"/>
      <c r="H232" s="985"/>
      <c r="I232" s="985"/>
      <c r="J232" s="983" t="s">
        <v>519</v>
      </c>
      <c r="K232" s="989">
        <v>300</v>
      </c>
      <c r="L232" s="975">
        <v>0</v>
      </c>
      <c r="M232" s="990">
        <f>M233+M234</f>
        <v>26</v>
      </c>
      <c r="N232" s="975">
        <f>N233+N234</f>
        <v>26</v>
      </c>
    </row>
    <row r="233" spans="1:14" ht="12.75" customHeight="1">
      <c r="A233" s="929" t="s">
        <v>90</v>
      </c>
      <c r="B233" s="982" t="s">
        <v>806</v>
      </c>
      <c r="C233" s="983" t="s">
        <v>894</v>
      </c>
      <c r="D233" s="983" t="s">
        <v>801</v>
      </c>
      <c r="E233" s="983" t="s">
        <v>896</v>
      </c>
      <c r="F233" s="983" t="s">
        <v>519</v>
      </c>
      <c r="G233" s="984"/>
      <c r="H233" s="985"/>
      <c r="I233" s="985"/>
      <c r="J233" s="983" t="s">
        <v>519</v>
      </c>
      <c r="K233" s="989">
        <v>310</v>
      </c>
      <c r="L233" s="975">
        <v>0</v>
      </c>
      <c r="M233" s="990">
        <v>10</v>
      </c>
      <c r="N233" s="973">
        <v>10</v>
      </c>
    </row>
    <row r="234" spans="1:14" ht="22.5" customHeight="1">
      <c r="A234" s="976" t="s">
        <v>91</v>
      </c>
      <c r="B234" s="982" t="s">
        <v>806</v>
      </c>
      <c r="C234" s="983" t="s">
        <v>894</v>
      </c>
      <c r="D234" s="983" t="s">
        <v>801</v>
      </c>
      <c r="E234" s="983" t="s">
        <v>896</v>
      </c>
      <c r="F234" s="983" t="s">
        <v>519</v>
      </c>
      <c r="G234" s="984"/>
      <c r="H234" s="985"/>
      <c r="I234" s="985"/>
      <c r="J234" s="983" t="s">
        <v>519</v>
      </c>
      <c r="K234" s="989">
        <v>340</v>
      </c>
      <c r="L234" s="975">
        <v>2</v>
      </c>
      <c r="M234" s="990">
        <v>16</v>
      </c>
      <c r="N234" s="973">
        <v>16</v>
      </c>
    </row>
    <row r="235" spans="1:14" ht="12" customHeight="1">
      <c r="A235" s="991" t="s">
        <v>1248</v>
      </c>
      <c r="B235" s="916" t="s">
        <v>806</v>
      </c>
      <c r="C235" s="992" t="s">
        <v>864</v>
      </c>
      <c r="D235" s="992" t="s">
        <v>802</v>
      </c>
      <c r="E235" s="992" t="s">
        <v>803</v>
      </c>
      <c r="F235" s="992" t="s">
        <v>804</v>
      </c>
      <c r="G235" s="993" t="s">
        <v>804</v>
      </c>
      <c r="H235" s="994"/>
      <c r="I235" s="994"/>
      <c r="J235" s="992" t="s">
        <v>804</v>
      </c>
      <c r="K235" s="993" t="s">
        <v>804</v>
      </c>
      <c r="L235" s="995">
        <f>L236+L254</f>
        <v>123.6</v>
      </c>
      <c r="M235" s="995">
        <f>M236</f>
        <v>394</v>
      </c>
      <c r="N235" s="995">
        <f>N236</f>
        <v>390</v>
      </c>
    </row>
    <row r="236" spans="1:14" ht="19.5" hidden="1">
      <c r="A236" s="941" t="s">
        <v>902</v>
      </c>
      <c r="B236" s="928" t="s">
        <v>806</v>
      </c>
      <c r="C236" s="928" t="s">
        <v>864</v>
      </c>
      <c r="D236" s="928" t="s">
        <v>894</v>
      </c>
      <c r="E236" s="928" t="s">
        <v>903</v>
      </c>
      <c r="F236" s="928" t="s">
        <v>804</v>
      </c>
      <c r="G236" s="932">
        <v>0</v>
      </c>
      <c r="H236" s="926"/>
      <c r="I236" s="926"/>
      <c r="J236" s="928" t="s">
        <v>804</v>
      </c>
      <c r="K236" s="939" t="s">
        <v>804</v>
      </c>
      <c r="L236" s="975"/>
      <c r="M236" s="975">
        <f>M242+M249+M250</f>
        <v>394</v>
      </c>
      <c r="N236" s="975">
        <f>N242+N249+N250</f>
        <v>390</v>
      </c>
    </row>
    <row r="237" spans="1:14" ht="12.75" hidden="1">
      <c r="A237" s="929" t="s">
        <v>812</v>
      </c>
      <c r="B237" s="928" t="s">
        <v>806</v>
      </c>
      <c r="C237" s="928" t="s">
        <v>864</v>
      </c>
      <c r="D237" s="928" t="s">
        <v>894</v>
      </c>
      <c r="E237" s="928" t="s">
        <v>903</v>
      </c>
      <c r="F237" s="928" t="s">
        <v>824</v>
      </c>
      <c r="G237" s="932">
        <v>200</v>
      </c>
      <c r="H237" s="926"/>
      <c r="I237" s="926"/>
      <c r="J237" s="928" t="s">
        <v>824</v>
      </c>
      <c r="K237" s="932">
        <v>200</v>
      </c>
      <c r="L237" s="975"/>
      <c r="M237" s="975"/>
      <c r="N237" s="975"/>
    </row>
    <row r="238" spans="1:14" ht="19.5" hidden="1">
      <c r="A238" s="929" t="s">
        <v>813</v>
      </c>
      <c r="B238" s="928" t="s">
        <v>806</v>
      </c>
      <c r="C238" s="928" t="s">
        <v>864</v>
      </c>
      <c r="D238" s="928" t="s">
        <v>894</v>
      </c>
      <c r="E238" s="928" t="s">
        <v>903</v>
      </c>
      <c r="F238" s="928" t="s">
        <v>824</v>
      </c>
      <c r="G238" s="932">
        <v>210</v>
      </c>
      <c r="H238" s="926"/>
      <c r="I238" s="926"/>
      <c r="J238" s="928" t="s">
        <v>824</v>
      </c>
      <c r="K238" s="932">
        <v>210</v>
      </c>
      <c r="L238" s="975"/>
      <c r="M238" s="975"/>
      <c r="N238" s="975"/>
    </row>
    <row r="239" spans="1:14" ht="12.75" hidden="1">
      <c r="A239" s="929" t="s">
        <v>815</v>
      </c>
      <c r="B239" s="928" t="s">
        <v>806</v>
      </c>
      <c r="C239" s="928" t="s">
        <v>864</v>
      </c>
      <c r="D239" s="928" t="s">
        <v>894</v>
      </c>
      <c r="E239" s="928" t="s">
        <v>903</v>
      </c>
      <c r="F239" s="928" t="s">
        <v>824</v>
      </c>
      <c r="G239" s="932">
        <v>211</v>
      </c>
      <c r="H239" s="926"/>
      <c r="I239" s="926"/>
      <c r="J239" s="928" t="s">
        <v>824</v>
      </c>
      <c r="K239" s="932">
        <v>211</v>
      </c>
      <c r="L239" s="975"/>
      <c r="M239" s="975"/>
      <c r="N239" s="975"/>
    </row>
    <row r="240" spans="1:14" ht="12.75" hidden="1">
      <c r="A240" s="929" t="s">
        <v>817</v>
      </c>
      <c r="B240" s="928" t="s">
        <v>806</v>
      </c>
      <c r="C240" s="928" t="s">
        <v>864</v>
      </c>
      <c r="D240" s="928" t="s">
        <v>894</v>
      </c>
      <c r="E240" s="928" t="s">
        <v>903</v>
      </c>
      <c r="F240" s="928" t="s">
        <v>824</v>
      </c>
      <c r="G240" s="932">
        <v>212</v>
      </c>
      <c r="H240" s="926"/>
      <c r="I240" s="926"/>
      <c r="J240" s="928" t="s">
        <v>824</v>
      </c>
      <c r="K240" s="932">
        <v>212</v>
      </c>
      <c r="L240" s="975"/>
      <c r="M240" s="975"/>
      <c r="N240" s="975"/>
    </row>
    <row r="241" spans="1:14" ht="13.5" customHeight="1" hidden="1">
      <c r="A241" s="929" t="s">
        <v>819</v>
      </c>
      <c r="B241" s="928" t="s">
        <v>806</v>
      </c>
      <c r="C241" s="928" t="s">
        <v>864</v>
      </c>
      <c r="D241" s="928" t="s">
        <v>894</v>
      </c>
      <c r="E241" s="928" t="s">
        <v>903</v>
      </c>
      <c r="F241" s="928" t="s">
        <v>824</v>
      </c>
      <c r="G241" s="932">
        <v>213</v>
      </c>
      <c r="H241" s="926"/>
      <c r="I241" s="926"/>
      <c r="J241" s="928" t="s">
        <v>824</v>
      </c>
      <c r="K241" s="932">
        <v>213</v>
      </c>
      <c r="L241" s="975"/>
      <c r="M241" s="975"/>
      <c r="N241" s="975"/>
    </row>
    <row r="242" spans="1:14" ht="12.75" hidden="1">
      <c r="A242" s="929" t="s">
        <v>904</v>
      </c>
      <c r="B242" s="928" t="s">
        <v>806</v>
      </c>
      <c r="C242" s="928" t="s">
        <v>864</v>
      </c>
      <c r="D242" s="928" t="s">
        <v>894</v>
      </c>
      <c r="E242" s="928" t="s">
        <v>903</v>
      </c>
      <c r="F242" s="928" t="s">
        <v>824</v>
      </c>
      <c r="G242" s="932">
        <v>220</v>
      </c>
      <c r="H242" s="926"/>
      <c r="I242" s="926"/>
      <c r="J242" s="928" t="s">
        <v>824</v>
      </c>
      <c r="K242" s="932">
        <v>220</v>
      </c>
      <c r="L242" s="988"/>
      <c r="M242" s="988">
        <f>M243+M244+M245+M246+M247+M248</f>
        <v>150</v>
      </c>
      <c r="N242" s="988">
        <f>N243+N244+N245+N246+N247+N248</f>
        <v>150</v>
      </c>
    </row>
    <row r="243" spans="1:14" ht="12.75" hidden="1">
      <c r="A243" s="929" t="s">
        <v>77</v>
      </c>
      <c r="B243" s="928" t="s">
        <v>806</v>
      </c>
      <c r="C243" s="928" t="s">
        <v>864</v>
      </c>
      <c r="D243" s="928" t="s">
        <v>894</v>
      </c>
      <c r="E243" s="928" t="s">
        <v>903</v>
      </c>
      <c r="F243" s="928" t="s">
        <v>824</v>
      </c>
      <c r="G243" s="932">
        <v>221</v>
      </c>
      <c r="H243" s="926"/>
      <c r="I243" s="926"/>
      <c r="J243" s="928" t="s">
        <v>824</v>
      </c>
      <c r="K243" s="932">
        <v>221</v>
      </c>
      <c r="L243" s="975"/>
      <c r="M243" s="975"/>
      <c r="N243" s="975"/>
    </row>
    <row r="244" spans="1:14" ht="12.75" hidden="1">
      <c r="A244" s="929" t="s">
        <v>837</v>
      </c>
      <c r="B244" s="928" t="s">
        <v>806</v>
      </c>
      <c r="C244" s="928" t="s">
        <v>864</v>
      </c>
      <c r="D244" s="928" t="s">
        <v>894</v>
      </c>
      <c r="E244" s="928" t="s">
        <v>903</v>
      </c>
      <c r="F244" s="928" t="s">
        <v>824</v>
      </c>
      <c r="G244" s="932">
        <v>222</v>
      </c>
      <c r="H244" s="926"/>
      <c r="I244" s="926"/>
      <c r="J244" s="928" t="s">
        <v>824</v>
      </c>
      <c r="K244" s="932">
        <v>222</v>
      </c>
      <c r="L244" s="975"/>
      <c r="M244" s="975">
        <v>30</v>
      </c>
      <c r="N244" s="975">
        <v>30</v>
      </c>
    </row>
    <row r="245" spans="1:14" ht="12.75" hidden="1">
      <c r="A245" s="929" t="s">
        <v>79</v>
      </c>
      <c r="B245" s="928" t="s">
        <v>806</v>
      </c>
      <c r="C245" s="928" t="s">
        <v>864</v>
      </c>
      <c r="D245" s="928" t="s">
        <v>894</v>
      </c>
      <c r="E245" s="928" t="s">
        <v>903</v>
      </c>
      <c r="F245" s="928" t="s">
        <v>824</v>
      </c>
      <c r="G245" s="932">
        <v>223</v>
      </c>
      <c r="H245" s="926"/>
      <c r="I245" s="926"/>
      <c r="J245" s="928" t="s">
        <v>824</v>
      </c>
      <c r="K245" s="932">
        <v>223</v>
      </c>
      <c r="L245" s="975"/>
      <c r="M245" s="975"/>
      <c r="N245" s="975"/>
    </row>
    <row r="246" spans="1:14" ht="12.75" hidden="1">
      <c r="A246" s="929" t="s">
        <v>80</v>
      </c>
      <c r="B246" s="928" t="s">
        <v>806</v>
      </c>
      <c r="C246" s="928" t="s">
        <v>864</v>
      </c>
      <c r="D246" s="928" t="s">
        <v>894</v>
      </c>
      <c r="E246" s="928" t="s">
        <v>903</v>
      </c>
      <c r="F246" s="928" t="s">
        <v>824</v>
      </c>
      <c r="G246" s="932">
        <v>224</v>
      </c>
      <c r="H246" s="926"/>
      <c r="I246" s="926"/>
      <c r="J246" s="928" t="s">
        <v>824</v>
      </c>
      <c r="K246" s="932">
        <v>224</v>
      </c>
      <c r="L246" s="975"/>
      <c r="M246" s="975"/>
      <c r="N246" s="975"/>
    </row>
    <row r="247" spans="1:14" ht="12.75" hidden="1">
      <c r="A247" s="929" t="s">
        <v>841</v>
      </c>
      <c r="B247" s="928" t="s">
        <v>806</v>
      </c>
      <c r="C247" s="928" t="s">
        <v>864</v>
      </c>
      <c r="D247" s="928" t="s">
        <v>894</v>
      </c>
      <c r="E247" s="928" t="s">
        <v>903</v>
      </c>
      <c r="F247" s="928" t="s">
        <v>824</v>
      </c>
      <c r="G247" s="932">
        <v>225</v>
      </c>
      <c r="H247" s="926"/>
      <c r="I247" s="926"/>
      <c r="J247" s="928" t="s">
        <v>824</v>
      </c>
      <c r="K247" s="932">
        <v>225</v>
      </c>
      <c r="L247" s="975"/>
      <c r="M247" s="975"/>
      <c r="N247" s="975"/>
    </row>
    <row r="248" spans="1:14" ht="12.75" hidden="1">
      <c r="A248" s="929" t="s">
        <v>855</v>
      </c>
      <c r="B248" s="928" t="s">
        <v>806</v>
      </c>
      <c r="C248" s="928" t="s">
        <v>864</v>
      </c>
      <c r="D248" s="928" t="s">
        <v>894</v>
      </c>
      <c r="E248" s="928" t="s">
        <v>903</v>
      </c>
      <c r="F248" s="928" t="s">
        <v>824</v>
      </c>
      <c r="G248" s="932">
        <v>226</v>
      </c>
      <c r="H248" s="926"/>
      <c r="I248" s="926"/>
      <c r="J248" s="928" t="s">
        <v>824</v>
      </c>
      <c r="K248" s="932">
        <v>226</v>
      </c>
      <c r="L248" s="975"/>
      <c r="M248" s="975">
        <v>120</v>
      </c>
      <c r="N248" s="975">
        <v>120</v>
      </c>
    </row>
    <row r="249" spans="1:14" ht="12.75" hidden="1">
      <c r="A249" s="929" t="s">
        <v>88</v>
      </c>
      <c r="B249" s="928" t="s">
        <v>806</v>
      </c>
      <c r="C249" s="928" t="s">
        <v>864</v>
      </c>
      <c r="D249" s="928" t="s">
        <v>894</v>
      </c>
      <c r="E249" s="928" t="s">
        <v>903</v>
      </c>
      <c r="F249" s="928" t="s">
        <v>824</v>
      </c>
      <c r="G249" s="932">
        <v>290</v>
      </c>
      <c r="H249" s="926"/>
      <c r="I249" s="926"/>
      <c r="J249" s="928" t="s">
        <v>824</v>
      </c>
      <c r="K249" s="932">
        <v>290</v>
      </c>
      <c r="L249" s="988"/>
      <c r="M249" s="988">
        <v>120</v>
      </c>
      <c r="N249" s="988">
        <v>120</v>
      </c>
    </row>
    <row r="250" spans="1:14" ht="12.75" hidden="1">
      <c r="A250" s="929" t="s">
        <v>880</v>
      </c>
      <c r="B250" s="928" t="s">
        <v>806</v>
      </c>
      <c r="C250" s="928" t="s">
        <v>864</v>
      </c>
      <c r="D250" s="928" t="s">
        <v>894</v>
      </c>
      <c r="E250" s="928" t="s">
        <v>903</v>
      </c>
      <c r="F250" s="928" t="s">
        <v>824</v>
      </c>
      <c r="G250" s="932">
        <v>300</v>
      </c>
      <c r="H250" s="926"/>
      <c r="I250" s="926"/>
      <c r="J250" s="928" t="s">
        <v>824</v>
      </c>
      <c r="K250" s="932">
        <v>300</v>
      </c>
      <c r="L250" s="988"/>
      <c r="M250" s="988">
        <f>M251+M252</f>
        <v>124</v>
      </c>
      <c r="N250" s="988">
        <f>N251+N252</f>
        <v>120</v>
      </c>
    </row>
    <row r="251" spans="1:14" ht="12.75" hidden="1">
      <c r="A251" s="929" t="s">
        <v>90</v>
      </c>
      <c r="B251" s="928" t="s">
        <v>806</v>
      </c>
      <c r="C251" s="928" t="s">
        <v>864</v>
      </c>
      <c r="D251" s="928" t="s">
        <v>894</v>
      </c>
      <c r="E251" s="928" t="s">
        <v>903</v>
      </c>
      <c r="F251" s="928" t="s">
        <v>824</v>
      </c>
      <c r="G251" s="932">
        <v>310</v>
      </c>
      <c r="H251" s="926"/>
      <c r="I251" s="926"/>
      <c r="J251" s="928" t="s">
        <v>824</v>
      </c>
      <c r="K251" s="932">
        <v>310</v>
      </c>
      <c r="L251" s="975"/>
      <c r="M251" s="975">
        <v>50</v>
      </c>
      <c r="N251" s="975">
        <v>50</v>
      </c>
    </row>
    <row r="252" spans="1:14" ht="12.75" hidden="1">
      <c r="A252" s="929" t="s">
        <v>91</v>
      </c>
      <c r="B252" s="928" t="s">
        <v>806</v>
      </c>
      <c r="C252" s="928" t="s">
        <v>864</v>
      </c>
      <c r="D252" s="928" t="s">
        <v>894</v>
      </c>
      <c r="E252" s="928" t="s">
        <v>903</v>
      </c>
      <c r="F252" s="928" t="s">
        <v>824</v>
      </c>
      <c r="G252" s="932">
        <v>340</v>
      </c>
      <c r="H252" s="926"/>
      <c r="I252" s="926"/>
      <c r="J252" s="928" t="s">
        <v>824</v>
      </c>
      <c r="K252" s="932">
        <v>340</v>
      </c>
      <c r="L252" s="975"/>
      <c r="M252" s="975">
        <v>74</v>
      </c>
      <c r="N252" s="975">
        <v>70</v>
      </c>
    </row>
    <row r="253" spans="1:14" ht="18.75" hidden="1">
      <c r="A253" s="991" t="s">
        <v>1214</v>
      </c>
      <c r="B253" s="916" t="s">
        <v>806</v>
      </c>
      <c r="C253" s="916" t="s">
        <v>859</v>
      </c>
      <c r="D253" s="916" t="s">
        <v>802</v>
      </c>
      <c r="E253" s="916" t="s">
        <v>803</v>
      </c>
      <c r="F253" s="916" t="s">
        <v>804</v>
      </c>
      <c r="G253" s="996" t="s">
        <v>804</v>
      </c>
      <c r="H253" s="915"/>
      <c r="I253" s="915"/>
      <c r="J253" s="916" t="s">
        <v>804</v>
      </c>
      <c r="K253" s="996" t="s">
        <v>804</v>
      </c>
      <c r="L253" s="918">
        <f>L254</f>
        <v>123.6</v>
      </c>
      <c r="M253" s="918">
        <f>M254</f>
        <v>554</v>
      </c>
      <c r="N253" s="918">
        <f>N254</f>
        <v>554</v>
      </c>
    </row>
    <row r="254" spans="1:14" ht="19.5">
      <c r="A254" s="941" t="s">
        <v>905</v>
      </c>
      <c r="B254" s="928" t="s">
        <v>806</v>
      </c>
      <c r="C254" s="928" t="s">
        <v>859</v>
      </c>
      <c r="D254" s="928" t="s">
        <v>801</v>
      </c>
      <c r="E254" s="928" t="s">
        <v>906</v>
      </c>
      <c r="F254" s="928" t="s">
        <v>804</v>
      </c>
      <c r="G254" s="932">
        <v>0</v>
      </c>
      <c r="H254" s="926"/>
      <c r="I254" s="926"/>
      <c r="J254" s="928" t="s">
        <v>804</v>
      </c>
      <c r="K254" s="939" t="s">
        <v>804</v>
      </c>
      <c r="L254" s="988">
        <f>L255+L261</f>
        <v>123.6</v>
      </c>
      <c r="M254" s="988">
        <f>M255+M261</f>
        <v>554</v>
      </c>
      <c r="N254" s="988">
        <f>N255+N261</f>
        <v>554</v>
      </c>
    </row>
    <row r="255" spans="1:14" ht="27.75">
      <c r="A255" s="927" t="s">
        <v>907</v>
      </c>
      <c r="B255" s="928" t="s">
        <v>806</v>
      </c>
      <c r="C255" s="928" t="s">
        <v>859</v>
      </c>
      <c r="D255" s="928" t="s">
        <v>801</v>
      </c>
      <c r="E255" s="928" t="s">
        <v>908</v>
      </c>
      <c r="F255" s="928" t="s">
        <v>33</v>
      </c>
      <c r="G255" s="932">
        <v>0</v>
      </c>
      <c r="H255" s="926"/>
      <c r="I255" s="926"/>
      <c r="J255" s="928" t="s">
        <v>33</v>
      </c>
      <c r="K255" s="939" t="s">
        <v>804</v>
      </c>
      <c r="L255" s="988">
        <f>L257</f>
        <v>123.6</v>
      </c>
      <c r="M255" s="988">
        <f>M257</f>
        <v>554</v>
      </c>
      <c r="N255" s="988">
        <f>N257</f>
        <v>554</v>
      </c>
    </row>
    <row r="256" spans="1:14" ht="12.75">
      <c r="A256" s="929" t="s">
        <v>812</v>
      </c>
      <c r="B256" s="928" t="s">
        <v>806</v>
      </c>
      <c r="C256" s="928" t="s">
        <v>859</v>
      </c>
      <c r="D256" s="928" t="s">
        <v>801</v>
      </c>
      <c r="E256" s="928" t="s">
        <v>908</v>
      </c>
      <c r="F256" s="928" t="s">
        <v>33</v>
      </c>
      <c r="G256" s="932">
        <v>200</v>
      </c>
      <c r="H256" s="926"/>
      <c r="I256" s="926"/>
      <c r="J256" s="928" t="s">
        <v>33</v>
      </c>
      <c r="K256" s="932">
        <v>200</v>
      </c>
      <c r="L256" s="975">
        <v>0</v>
      </c>
      <c r="M256" s="975">
        <f>M259</f>
        <v>554</v>
      </c>
      <c r="N256" s="975">
        <f>N259</f>
        <v>554</v>
      </c>
    </row>
    <row r="257" spans="1:14" ht="12.75">
      <c r="A257" s="929" t="s">
        <v>84</v>
      </c>
      <c r="B257" s="928" t="s">
        <v>806</v>
      </c>
      <c r="C257" s="928" t="s">
        <v>859</v>
      </c>
      <c r="D257" s="928" t="s">
        <v>801</v>
      </c>
      <c r="E257" s="928" t="s">
        <v>908</v>
      </c>
      <c r="F257" s="928" t="s">
        <v>33</v>
      </c>
      <c r="G257" s="932">
        <v>260</v>
      </c>
      <c r="H257" s="926"/>
      <c r="I257" s="926"/>
      <c r="J257" s="928" t="s">
        <v>33</v>
      </c>
      <c r="K257" s="932">
        <v>260</v>
      </c>
      <c r="L257" s="975">
        <v>123.6</v>
      </c>
      <c r="M257" s="975">
        <f>M259</f>
        <v>554</v>
      </c>
      <c r="N257" s="975">
        <f>N259</f>
        <v>554</v>
      </c>
    </row>
    <row r="258" spans="1:14" ht="12.75">
      <c r="A258" s="929" t="s">
        <v>843</v>
      </c>
      <c r="B258" s="928" t="s">
        <v>806</v>
      </c>
      <c r="C258" s="928" t="s">
        <v>859</v>
      </c>
      <c r="D258" s="928" t="s">
        <v>801</v>
      </c>
      <c r="E258" s="928" t="s">
        <v>908</v>
      </c>
      <c r="F258" s="928" t="s">
        <v>33</v>
      </c>
      <c r="G258" s="932">
        <v>262</v>
      </c>
      <c r="H258" s="926"/>
      <c r="I258" s="926"/>
      <c r="J258" s="928" t="s">
        <v>33</v>
      </c>
      <c r="K258" s="932">
        <v>262</v>
      </c>
      <c r="L258" s="975"/>
      <c r="M258" s="975"/>
      <c r="N258" s="975"/>
    </row>
    <row r="259" spans="1:14" ht="22.5" customHeight="1">
      <c r="A259" s="929" t="s">
        <v>844</v>
      </c>
      <c r="B259" s="928" t="s">
        <v>806</v>
      </c>
      <c r="C259" s="928" t="s">
        <v>859</v>
      </c>
      <c r="D259" s="928" t="s">
        <v>801</v>
      </c>
      <c r="E259" s="928" t="s">
        <v>908</v>
      </c>
      <c r="F259" s="928" t="s">
        <v>33</v>
      </c>
      <c r="G259" s="932">
        <v>263</v>
      </c>
      <c r="H259" s="926"/>
      <c r="I259" s="926"/>
      <c r="J259" s="928" t="s">
        <v>33</v>
      </c>
      <c r="K259" s="932">
        <v>263</v>
      </c>
      <c r="L259" s="975">
        <v>0</v>
      </c>
      <c r="M259" s="975">
        <v>554</v>
      </c>
      <c r="N259" s="975">
        <v>554</v>
      </c>
    </row>
    <row r="260" spans="1:14" ht="12.75" customHeight="1" hidden="1">
      <c r="A260" s="927" t="s">
        <v>909</v>
      </c>
      <c r="B260" s="928" t="s">
        <v>806</v>
      </c>
      <c r="C260" s="928" t="s">
        <v>859</v>
      </c>
      <c r="D260" s="928" t="s">
        <v>850</v>
      </c>
      <c r="E260" s="928" t="s">
        <v>910</v>
      </c>
      <c r="F260" s="928" t="s">
        <v>33</v>
      </c>
      <c r="G260" s="939" t="s">
        <v>804</v>
      </c>
      <c r="H260" s="926"/>
      <c r="I260" s="926"/>
      <c r="J260" s="928" t="s">
        <v>33</v>
      </c>
      <c r="K260" s="932">
        <v>0</v>
      </c>
      <c r="L260" s="975"/>
      <c r="M260" s="975"/>
      <c r="N260" s="975"/>
    </row>
    <row r="261" spans="1:14" ht="12.75" customHeight="1" hidden="1">
      <c r="A261" s="929" t="s">
        <v>812</v>
      </c>
      <c r="B261" s="928" t="s">
        <v>806</v>
      </c>
      <c r="C261" s="928" t="s">
        <v>859</v>
      </c>
      <c r="D261" s="928" t="s">
        <v>850</v>
      </c>
      <c r="E261" s="928" t="s">
        <v>910</v>
      </c>
      <c r="F261" s="928" t="s">
        <v>33</v>
      </c>
      <c r="G261" s="932">
        <v>200</v>
      </c>
      <c r="H261" s="926"/>
      <c r="I261" s="926"/>
      <c r="J261" s="928" t="s">
        <v>33</v>
      </c>
      <c r="K261" s="932">
        <v>200</v>
      </c>
      <c r="L261" s="988">
        <f aca="true" t="shared" si="4" ref="L261:N262">L262</f>
        <v>0</v>
      </c>
      <c r="M261" s="988">
        <f t="shared" si="4"/>
        <v>0</v>
      </c>
      <c r="N261" s="988">
        <f t="shared" si="4"/>
        <v>0</v>
      </c>
    </row>
    <row r="262" spans="1:14" ht="12.75" customHeight="1" hidden="1">
      <c r="A262" s="929" t="s">
        <v>84</v>
      </c>
      <c r="B262" s="928" t="s">
        <v>806</v>
      </c>
      <c r="C262" s="928" t="s">
        <v>859</v>
      </c>
      <c r="D262" s="928" t="s">
        <v>850</v>
      </c>
      <c r="E262" s="928" t="s">
        <v>910</v>
      </c>
      <c r="F262" s="928" t="s">
        <v>33</v>
      </c>
      <c r="G262" s="932">
        <v>260</v>
      </c>
      <c r="H262" s="926"/>
      <c r="I262" s="926"/>
      <c r="J262" s="928" t="s">
        <v>33</v>
      </c>
      <c r="K262" s="932">
        <v>260</v>
      </c>
      <c r="L262" s="975">
        <f t="shared" si="4"/>
        <v>0</v>
      </c>
      <c r="M262" s="975">
        <f t="shared" si="4"/>
        <v>0</v>
      </c>
      <c r="N262" s="975">
        <f t="shared" si="4"/>
        <v>0</v>
      </c>
    </row>
    <row r="263" spans="1:14" ht="12.75" customHeight="1" hidden="1">
      <c r="A263" s="976" t="s">
        <v>843</v>
      </c>
      <c r="B263" s="935" t="s">
        <v>806</v>
      </c>
      <c r="C263" s="935" t="s">
        <v>859</v>
      </c>
      <c r="D263" s="935" t="s">
        <v>850</v>
      </c>
      <c r="E263" s="935" t="s">
        <v>910</v>
      </c>
      <c r="F263" s="935" t="s">
        <v>33</v>
      </c>
      <c r="G263" s="997">
        <v>262</v>
      </c>
      <c r="H263" s="942"/>
      <c r="I263" s="942"/>
      <c r="J263" s="935" t="s">
        <v>33</v>
      </c>
      <c r="K263" s="997">
        <v>262</v>
      </c>
      <c r="L263" s="998"/>
      <c r="M263" s="998"/>
      <c r="N263" s="998"/>
    </row>
    <row r="264" spans="1:14" ht="22.5" customHeight="1" hidden="1">
      <c r="A264" s="999" t="s">
        <v>911</v>
      </c>
      <c r="B264" s="916" t="s">
        <v>806</v>
      </c>
      <c r="C264" s="916" t="s">
        <v>912</v>
      </c>
      <c r="D264" s="916" t="s">
        <v>802</v>
      </c>
      <c r="E264" s="916" t="s">
        <v>803</v>
      </c>
      <c r="F264" s="916" t="s">
        <v>804</v>
      </c>
      <c r="G264" s="996" t="s">
        <v>804</v>
      </c>
      <c r="H264" s="915"/>
      <c r="I264" s="915"/>
      <c r="J264" s="916" t="s">
        <v>804</v>
      </c>
      <c r="K264" s="996" t="s">
        <v>804</v>
      </c>
      <c r="L264" s="1000">
        <v>0</v>
      </c>
      <c r="M264" s="1000">
        <v>0</v>
      </c>
      <c r="N264" s="1000">
        <v>0</v>
      </c>
    </row>
    <row r="265" spans="1:14" ht="12.75" customHeight="1" hidden="1">
      <c r="A265" s="941" t="s">
        <v>913</v>
      </c>
      <c r="B265" s="928" t="s">
        <v>806</v>
      </c>
      <c r="C265" s="928" t="s">
        <v>912</v>
      </c>
      <c r="D265" s="928" t="s">
        <v>861</v>
      </c>
      <c r="E265" s="928" t="s">
        <v>914</v>
      </c>
      <c r="F265" s="928" t="s">
        <v>804</v>
      </c>
      <c r="G265" s="939" t="s">
        <v>804</v>
      </c>
      <c r="H265" s="926"/>
      <c r="I265" s="926"/>
      <c r="J265" s="928" t="s">
        <v>804</v>
      </c>
      <c r="K265" s="939" t="s">
        <v>804</v>
      </c>
      <c r="L265" s="975"/>
      <c r="M265" s="975"/>
      <c r="N265" s="975"/>
    </row>
    <row r="266" spans="1:14" ht="12.75" customHeight="1" hidden="1">
      <c r="A266" s="919" t="s">
        <v>244</v>
      </c>
      <c r="B266" s="928" t="s">
        <v>806</v>
      </c>
      <c r="C266" s="928" t="s">
        <v>912</v>
      </c>
      <c r="D266" s="928" t="s">
        <v>861</v>
      </c>
      <c r="E266" s="928" t="s">
        <v>915</v>
      </c>
      <c r="F266" s="928" t="s">
        <v>385</v>
      </c>
      <c r="G266" s="939" t="s">
        <v>804</v>
      </c>
      <c r="H266" s="926"/>
      <c r="I266" s="926"/>
      <c r="J266" s="928" t="s">
        <v>385</v>
      </c>
      <c r="K266" s="939" t="s">
        <v>804</v>
      </c>
      <c r="L266" s="975"/>
      <c r="M266" s="975"/>
      <c r="N266" s="975"/>
    </row>
    <row r="267" spans="1:14" ht="12.75" customHeight="1" hidden="1">
      <c r="A267" s="929" t="s">
        <v>812</v>
      </c>
      <c r="B267" s="928" t="s">
        <v>806</v>
      </c>
      <c r="C267" s="928" t="s">
        <v>912</v>
      </c>
      <c r="D267" s="928" t="s">
        <v>861</v>
      </c>
      <c r="E267" s="928" t="s">
        <v>915</v>
      </c>
      <c r="F267" s="928" t="s">
        <v>385</v>
      </c>
      <c r="G267" s="932">
        <v>200</v>
      </c>
      <c r="H267" s="926"/>
      <c r="I267" s="926"/>
      <c r="J267" s="928" t="s">
        <v>385</v>
      </c>
      <c r="K267" s="932">
        <v>200</v>
      </c>
      <c r="L267" s="975"/>
      <c r="M267" s="975"/>
      <c r="N267" s="975"/>
    </row>
    <row r="268" spans="1:14" ht="12.75" customHeight="1" hidden="1">
      <c r="A268" s="929" t="s">
        <v>916</v>
      </c>
      <c r="B268" s="928" t="s">
        <v>806</v>
      </c>
      <c r="C268" s="928" t="s">
        <v>912</v>
      </c>
      <c r="D268" s="928" t="s">
        <v>861</v>
      </c>
      <c r="E268" s="928" t="s">
        <v>915</v>
      </c>
      <c r="F268" s="928" t="s">
        <v>385</v>
      </c>
      <c r="G268" s="932">
        <v>251</v>
      </c>
      <c r="H268" s="926"/>
      <c r="I268" s="926"/>
      <c r="J268" s="928" t="s">
        <v>385</v>
      </c>
      <c r="K268" s="932">
        <v>251</v>
      </c>
      <c r="L268" s="975"/>
      <c r="M268" s="975"/>
      <c r="N268" s="975"/>
    </row>
    <row r="269" spans="1:14" ht="18.75">
      <c r="A269" s="991" t="s">
        <v>1215</v>
      </c>
      <c r="B269" s="916" t="s">
        <v>806</v>
      </c>
      <c r="C269" s="992" t="s">
        <v>912</v>
      </c>
      <c r="D269" s="992" t="s">
        <v>802</v>
      </c>
      <c r="E269" s="992" t="s">
        <v>803</v>
      </c>
      <c r="F269" s="992" t="s">
        <v>804</v>
      </c>
      <c r="G269" s="993" t="s">
        <v>804</v>
      </c>
      <c r="H269" s="994"/>
      <c r="I269" s="994"/>
      <c r="J269" s="992" t="s">
        <v>804</v>
      </c>
      <c r="K269" s="993" t="s">
        <v>804</v>
      </c>
      <c r="L269" s="995">
        <f>L270</f>
        <v>0</v>
      </c>
      <c r="M269" s="975"/>
      <c r="N269" s="975"/>
    </row>
    <row r="270" spans="1:14" ht="19.5">
      <c r="A270" s="941" t="s">
        <v>1185</v>
      </c>
      <c r="B270" s="928" t="s">
        <v>806</v>
      </c>
      <c r="C270" s="928" t="s">
        <v>912</v>
      </c>
      <c r="D270" s="928" t="s">
        <v>876</v>
      </c>
      <c r="E270" s="928" t="s">
        <v>903</v>
      </c>
      <c r="F270" s="928" t="s">
        <v>804</v>
      </c>
      <c r="G270" s="932">
        <v>0</v>
      </c>
      <c r="H270" s="926"/>
      <c r="I270" s="926"/>
      <c r="J270" s="928" t="s">
        <v>804</v>
      </c>
      <c r="K270" s="939" t="s">
        <v>804</v>
      </c>
      <c r="L270" s="975">
        <v>0</v>
      </c>
      <c r="M270" s="975"/>
      <c r="N270" s="975"/>
    </row>
    <row r="271" spans="1:14" ht="12.75">
      <c r="A271" s="929" t="s">
        <v>812</v>
      </c>
      <c r="B271" s="928" t="s">
        <v>806</v>
      </c>
      <c r="C271" s="928" t="s">
        <v>912</v>
      </c>
      <c r="D271" s="928" t="s">
        <v>876</v>
      </c>
      <c r="E271" s="928" t="s">
        <v>903</v>
      </c>
      <c r="F271" s="928" t="s">
        <v>824</v>
      </c>
      <c r="G271" s="932">
        <v>200</v>
      </c>
      <c r="H271" s="926"/>
      <c r="I271" s="926"/>
      <c r="J271" s="928" t="s">
        <v>824</v>
      </c>
      <c r="K271" s="932">
        <v>200</v>
      </c>
      <c r="L271" s="975">
        <v>0</v>
      </c>
      <c r="M271" s="975"/>
      <c r="N271" s="975"/>
    </row>
    <row r="272" spans="1:14" ht="19.5">
      <c r="A272" s="929" t="s">
        <v>813</v>
      </c>
      <c r="B272" s="928" t="s">
        <v>806</v>
      </c>
      <c r="C272" s="928" t="s">
        <v>912</v>
      </c>
      <c r="D272" s="928" t="s">
        <v>876</v>
      </c>
      <c r="E272" s="928" t="s">
        <v>903</v>
      </c>
      <c r="F272" s="928" t="s">
        <v>824</v>
      </c>
      <c r="G272" s="932">
        <v>210</v>
      </c>
      <c r="H272" s="926"/>
      <c r="I272" s="926"/>
      <c r="J272" s="928" t="s">
        <v>824</v>
      </c>
      <c r="K272" s="932">
        <v>210</v>
      </c>
      <c r="L272" s="975"/>
      <c r="M272" s="975"/>
      <c r="N272" s="975"/>
    </row>
    <row r="273" spans="1:14" ht="12.75">
      <c r="A273" s="929" t="s">
        <v>815</v>
      </c>
      <c r="B273" s="928" t="s">
        <v>806</v>
      </c>
      <c r="C273" s="928" t="s">
        <v>912</v>
      </c>
      <c r="D273" s="928" t="s">
        <v>876</v>
      </c>
      <c r="E273" s="928" t="s">
        <v>903</v>
      </c>
      <c r="F273" s="928" t="s">
        <v>824</v>
      </c>
      <c r="G273" s="932">
        <v>211</v>
      </c>
      <c r="H273" s="926"/>
      <c r="I273" s="926"/>
      <c r="J273" s="928" t="s">
        <v>824</v>
      </c>
      <c r="K273" s="932">
        <v>211</v>
      </c>
      <c r="L273" s="975"/>
      <c r="M273" s="975"/>
      <c r="N273" s="975"/>
    </row>
    <row r="274" spans="1:14" ht="12.75">
      <c r="A274" s="929" t="s">
        <v>817</v>
      </c>
      <c r="B274" s="928" t="s">
        <v>806</v>
      </c>
      <c r="C274" s="928" t="s">
        <v>912</v>
      </c>
      <c r="D274" s="928" t="s">
        <v>876</v>
      </c>
      <c r="E274" s="928" t="s">
        <v>903</v>
      </c>
      <c r="F274" s="928" t="s">
        <v>824</v>
      </c>
      <c r="G274" s="932">
        <v>212</v>
      </c>
      <c r="H274" s="926"/>
      <c r="I274" s="926"/>
      <c r="J274" s="928" t="s">
        <v>824</v>
      </c>
      <c r="K274" s="932">
        <v>212</v>
      </c>
      <c r="L274" s="975"/>
      <c r="M274" s="975"/>
      <c r="N274" s="975"/>
    </row>
    <row r="275" spans="1:14" ht="12.75">
      <c r="A275" s="929" t="s">
        <v>819</v>
      </c>
      <c r="B275" s="928" t="s">
        <v>806</v>
      </c>
      <c r="C275" s="928" t="s">
        <v>912</v>
      </c>
      <c r="D275" s="928" t="s">
        <v>876</v>
      </c>
      <c r="E275" s="928" t="s">
        <v>903</v>
      </c>
      <c r="F275" s="928" t="s">
        <v>824</v>
      </c>
      <c r="G275" s="932">
        <v>213</v>
      </c>
      <c r="H275" s="926"/>
      <c r="I275" s="926"/>
      <c r="J275" s="928" t="s">
        <v>824</v>
      </c>
      <c r="K275" s="932">
        <v>213</v>
      </c>
      <c r="L275" s="975"/>
      <c r="M275" s="975"/>
      <c r="N275" s="975"/>
    </row>
    <row r="276" spans="1:14" ht="12.75">
      <c r="A276" s="929" t="s">
        <v>904</v>
      </c>
      <c r="B276" s="928" t="s">
        <v>806</v>
      </c>
      <c r="C276" s="928" t="s">
        <v>912</v>
      </c>
      <c r="D276" s="928" t="s">
        <v>876</v>
      </c>
      <c r="E276" s="928" t="s">
        <v>903</v>
      </c>
      <c r="F276" s="928" t="s">
        <v>824</v>
      </c>
      <c r="G276" s="932">
        <v>220</v>
      </c>
      <c r="H276" s="926"/>
      <c r="I276" s="926"/>
      <c r="J276" s="928" t="s">
        <v>824</v>
      </c>
      <c r="K276" s="932">
        <v>220</v>
      </c>
      <c r="L276" s="988">
        <f>L277+L278+L279+L280+L281+L282</f>
        <v>0</v>
      </c>
      <c r="M276" s="975"/>
      <c r="N276" s="975"/>
    </row>
    <row r="277" spans="1:14" ht="12.75">
      <c r="A277" s="929" t="s">
        <v>77</v>
      </c>
      <c r="B277" s="928" t="s">
        <v>806</v>
      </c>
      <c r="C277" s="928" t="s">
        <v>912</v>
      </c>
      <c r="D277" s="928" t="s">
        <v>876</v>
      </c>
      <c r="E277" s="928" t="s">
        <v>903</v>
      </c>
      <c r="F277" s="928" t="s">
        <v>824</v>
      </c>
      <c r="G277" s="932">
        <v>221</v>
      </c>
      <c r="H277" s="926"/>
      <c r="I277" s="926"/>
      <c r="J277" s="928" t="s">
        <v>824</v>
      </c>
      <c r="K277" s="932">
        <v>221</v>
      </c>
      <c r="L277" s="975"/>
      <c r="M277" s="975"/>
      <c r="N277" s="975"/>
    </row>
    <row r="278" spans="1:14" ht="12.75">
      <c r="A278" s="929" t="s">
        <v>837</v>
      </c>
      <c r="B278" s="928" t="s">
        <v>806</v>
      </c>
      <c r="C278" s="928" t="s">
        <v>912</v>
      </c>
      <c r="D278" s="928" t="s">
        <v>876</v>
      </c>
      <c r="E278" s="928" t="s">
        <v>903</v>
      </c>
      <c r="F278" s="928" t="s">
        <v>824</v>
      </c>
      <c r="G278" s="932">
        <v>222</v>
      </c>
      <c r="H278" s="926"/>
      <c r="I278" s="926"/>
      <c r="J278" s="928" t="s">
        <v>824</v>
      </c>
      <c r="K278" s="932">
        <v>222</v>
      </c>
      <c r="L278" s="975">
        <v>0</v>
      </c>
      <c r="M278" s="975"/>
      <c r="N278" s="975"/>
    </row>
    <row r="279" spans="1:14" ht="12.75">
      <c r="A279" s="929" t="s">
        <v>79</v>
      </c>
      <c r="B279" s="928" t="s">
        <v>806</v>
      </c>
      <c r="C279" s="928" t="s">
        <v>912</v>
      </c>
      <c r="D279" s="928" t="s">
        <v>876</v>
      </c>
      <c r="E279" s="928" t="s">
        <v>903</v>
      </c>
      <c r="F279" s="928" t="s">
        <v>824</v>
      </c>
      <c r="G279" s="932">
        <v>223</v>
      </c>
      <c r="H279" s="926"/>
      <c r="I279" s="926"/>
      <c r="J279" s="928" t="s">
        <v>824</v>
      </c>
      <c r="K279" s="932">
        <v>223</v>
      </c>
      <c r="L279" s="975"/>
      <c r="M279" s="975"/>
      <c r="N279" s="975"/>
    </row>
    <row r="280" spans="1:14" ht="12.75">
      <c r="A280" s="929" t="s">
        <v>80</v>
      </c>
      <c r="B280" s="928" t="s">
        <v>806</v>
      </c>
      <c r="C280" s="928" t="s">
        <v>912</v>
      </c>
      <c r="D280" s="928" t="s">
        <v>876</v>
      </c>
      <c r="E280" s="928" t="s">
        <v>903</v>
      </c>
      <c r="F280" s="928" t="s">
        <v>824</v>
      </c>
      <c r="G280" s="932">
        <v>224</v>
      </c>
      <c r="H280" s="926"/>
      <c r="I280" s="926"/>
      <c r="J280" s="928" t="s">
        <v>824</v>
      </c>
      <c r="K280" s="932">
        <v>224</v>
      </c>
      <c r="L280" s="975"/>
      <c r="M280" s="975"/>
      <c r="N280" s="975"/>
    </row>
    <row r="281" spans="1:14" ht="12.75">
      <c r="A281" s="929" t="s">
        <v>841</v>
      </c>
      <c r="B281" s="928" t="s">
        <v>806</v>
      </c>
      <c r="C281" s="928" t="s">
        <v>912</v>
      </c>
      <c r="D281" s="928" t="s">
        <v>876</v>
      </c>
      <c r="E281" s="928" t="s">
        <v>903</v>
      </c>
      <c r="F281" s="928" t="s">
        <v>824</v>
      </c>
      <c r="G281" s="932">
        <v>225</v>
      </c>
      <c r="H281" s="926"/>
      <c r="I281" s="926"/>
      <c r="J281" s="928" t="s">
        <v>824</v>
      </c>
      <c r="K281" s="932">
        <v>225</v>
      </c>
      <c r="L281" s="975"/>
      <c r="M281" s="975"/>
      <c r="N281" s="975"/>
    </row>
    <row r="282" spans="1:14" ht="12.75">
      <c r="A282" s="929" t="s">
        <v>855</v>
      </c>
      <c r="B282" s="928" t="s">
        <v>806</v>
      </c>
      <c r="C282" s="928" t="s">
        <v>912</v>
      </c>
      <c r="D282" s="928" t="s">
        <v>876</v>
      </c>
      <c r="E282" s="928" t="s">
        <v>903</v>
      </c>
      <c r="F282" s="928" t="s">
        <v>824</v>
      </c>
      <c r="G282" s="932">
        <v>226</v>
      </c>
      <c r="H282" s="926"/>
      <c r="I282" s="926"/>
      <c r="J282" s="928" t="s">
        <v>824</v>
      </c>
      <c r="K282" s="932">
        <v>226</v>
      </c>
      <c r="L282" s="975">
        <v>0</v>
      </c>
      <c r="M282" s="975"/>
      <c r="N282" s="975"/>
    </row>
    <row r="283" spans="1:14" ht="12.75">
      <c r="A283" s="929" t="s">
        <v>88</v>
      </c>
      <c r="B283" s="928" t="s">
        <v>806</v>
      </c>
      <c r="C283" s="928" t="s">
        <v>912</v>
      </c>
      <c r="D283" s="928" t="s">
        <v>876</v>
      </c>
      <c r="E283" s="928" t="s">
        <v>903</v>
      </c>
      <c r="F283" s="928" t="s">
        <v>824</v>
      </c>
      <c r="G283" s="932">
        <v>290</v>
      </c>
      <c r="H283" s="926"/>
      <c r="I283" s="926"/>
      <c r="J283" s="928" t="s">
        <v>824</v>
      </c>
      <c r="K283" s="932">
        <v>290</v>
      </c>
      <c r="L283" s="988">
        <v>0</v>
      </c>
      <c r="M283" s="975"/>
      <c r="N283" s="975"/>
    </row>
    <row r="284" spans="1:14" ht="12.75">
      <c r="A284" s="929" t="s">
        <v>880</v>
      </c>
      <c r="B284" s="928" t="s">
        <v>806</v>
      </c>
      <c r="C284" s="928" t="s">
        <v>912</v>
      </c>
      <c r="D284" s="928" t="s">
        <v>876</v>
      </c>
      <c r="E284" s="928" t="s">
        <v>903</v>
      </c>
      <c r="F284" s="928" t="s">
        <v>824</v>
      </c>
      <c r="G284" s="932">
        <v>300</v>
      </c>
      <c r="H284" s="926"/>
      <c r="I284" s="926"/>
      <c r="J284" s="928" t="s">
        <v>824</v>
      </c>
      <c r="K284" s="932">
        <v>300</v>
      </c>
      <c r="L284" s="988">
        <f>L285+L286</f>
        <v>0</v>
      </c>
      <c r="M284" s="975"/>
      <c r="N284" s="975"/>
    </row>
    <row r="285" spans="1:14" ht="12.75">
      <c r="A285" s="929" t="s">
        <v>90</v>
      </c>
      <c r="B285" s="928" t="s">
        <v>806</v>
      </c>
      <c r="C285" s="928" t="s">
        <v>912</v>
      </c>
      <c r="D285" s="928" t="s">
        <v>876</v>
      </c>
      <c r="E285" s="928" t="s">
        <v>903</v>
      </c>
      <c r="F285" s="928" t="s">
        <v>824</v>
      </c>
      <c r="G285" s="932">
        <v>310</v>
      </c>
      <c r="H285" s="926"/>
      <c r="I285" s="926"/>
      <c r="J285" s="928" t="s">
        <v>824</v>
      </c>
      <c r="K285" s="932">
        <v>310</v>
      </c>
      <c r="L285" s="975">
        <v>0</v>
      </c>
      <c r="M285" s="975"/>
      <c r="N285" s="975"/>
    </row>
    <row r="286" spans="1:14" ht="12.75">
      <c r="A286" s="929" t="s">
        <v>91</v>
      </c>
      <c r="B286" s="928" t="s">
        <v>806</v>
      </c>
      <c r="C286" s="928" t="s">
        <v>912</v>
      </c>
      <c r="D286" s="928" t="s">
        <v>876</v>
      </c>
      <c r="E286" s="928" t="s">
        <v>903</v>
      </c>
      <c r="F286" s="928" t="s">
        <v>824</v>
      </c>
      <c r="G286" s="932">
        <v>340</v>
      </c>
      <c r="H286" s="926"/>
      <c r="I286" s="926"/>
      <c r="J286" s="928" t="s">
        <v>824</v>
      </c>
      <c r="K286" s="932">
        <v>340</v>
      </c>
      <c r="L286" s="975">
        <v>0</v>
      </c>
      <c r="M286" s="975"/>
      <c r="N286" s="975"/>
    </row>
    <row r="287" spans="1:14" ht="18.75">
      <c r="A287" s="1106" t="s">
        <v>958</v>
      </c>
      <c r="B287" s="1107" t="s">
        <v>806</v>
      </c>
      <c r="C287" s="1108" t="s">
        <v>1184</v>
      </c>
      <c r="D287" s="1108" t="s">
        <v>801</v>
      </c>
      <c r="E287" s="1108" t="s">
        <v>959</v>
      </c>
      <c r="F287" s="1109" t="s">
        <v>258</v>
      </c>
      <c r="G287" s="1110"/>
      <c r="H287" s="1111"/>
      <c r="I287" s="1112"/>
      <c r="J287" s="1108" t="s">
        <v>258</v>
      </c>
      <c r="K287" s="1113" t="s">
        <v>804</v>
      </c>
      <c r="L287" s="954">
        <f>L288</f>
        <v>0</v>
      </c>
      <c r="M287" s="975"/>
      <c r="N287" s="975"/>
    </row>
    <row r="288" spans="1:14" ht="12.75">
      <c r="A288" s="930" t="s">
        <v>828</v>
      </c>
      <c r="B288" s="934" t="s">
        <v>806</v>
      </c>
      <c r="C288" s="935" t="s">
        <v>1184</v>
      </c>
      <c r="D288" s="935" t="s">
        <v>801</v>
      </c>
      <c r="E288" s="935" t="s">
        <v>959</v>
      </c>
      <c r="F288" s="928" t="s">
        <v>258</v>
      </c>
      <c r="G288" s="932"/>
      <c r="H288" s="926"/>
      <c r="I288" s="912"/>
      <c r="J288" s="935" t="s">
        <v>258</v>
      </c>
      <c r="K288" s="936" t="s">
        <v>42</v>
      </c>
      <c r="L288" s="937">
        <f>L289</f>
        <v>0</v>
      </c>
      <c r="M288" s="975"/>
      <c r="N288" s="975"/>
    </row>
    <row r="289" spans="1:14" ht="12.75">
      <c r="A289" s="930" t="s">
        <v>960</v>
      </c>
      <c r="B289" s="934" t="s">
        <v>806</v>
      </c>
      <c r="C289" s="935" t="s">
        <v>1184</v>
      </c>
      <c r="D289" s="935" t="s">
        <v>801</v>
      </c>
      <c r="E289" s="935" t="s">
        <v>959</v>
      </c>
      <c r="F289" s="928" t="s">
        <v>258</v>
      </c>
      <c r="G289" s="932"/>
      <c r="H289" s="926"/>
      <c r="I289" s="912"/>
      <c r="J289" s="935" t="s">
        <v>258</v>
      </c>
      <c r="K289" s="936" t="s">
        <v>961</v>
      </c>
      <c r="L289" s="937">
        <v>0</v>
      </c>
      <c r="M289" s="975"/>
      <c r="N289" s="975"/>
    </row>
    <row r="290" spans="1:14" ht="12.75">
      <c r="A290" s="1001" t="s">
        <v>917</v>
      </c>
      <c r="B290" s="964"/>
      <c r="C290" s="917"/>
      <c r="D290" s="917"/>
      <c r="E290" s="917"/>
      <c r="F290" s="917"/>
      <c r="G290" s="917"/>
      <c r="H290" s="917"/>
      <c r="I290" s="917"/>
      <c r="J290" s="917"/>
      <c r="K290" s="917"/>
      <c r="L290" s="918">
        <f>L11+L60+L110+L131+L144+L167+L202+L235</f>
        <v>3693.7199999999993</v>
      </c>
      <c r="M290" s="1002" t="e">
        <f>M253+M235+M201+M167+M143+M110+M96+M60+M11</f>
        <v>#REF!</v>
      </c>
      <c r="N290" s="1002" t="e">
        <f>N253+N235+N201+N167+N143+N110+N96+N60+N11</f>
        <v>#REF!</v>
      </c>
    </row>
    <row r="291" spans="1:14" ht="12.75">
      <c r="A291" s="912" t="s">
        <v>308</v>
      </c>
      <c r="B291" s="912"/>
      <c r="C291" s="912"/>
      <c r="D291" s="912"/>
      <c r="E291" s="912"/>
      <c r="F291" s="912"/>
      <c r="G291" s="912"/>
      <c r="H291" s="912"/>
      <c r="I291" s="912"/>
      <c r="J291" s="912"/>
      <c r="K291" s="912"/>
      <c r="L291" s="912"/>
      <c r="M291" s="1003"/>
      <c r="N291" s="1003"/>
    </row>
    <row r="292" spans="1:14" ht="12.75">
      <c r="A292" s="1003"/>
      <c r="B292" s="1003"/>
      <c r="C292" s="1003"/>
      <c r="D292" s="1003"/>
      <c r="E292" s="1003"/>
      <c r="F292" s="1003"/>
      <c r="G292" s="1003"/>
      <c r="H292" s="1003"/>
      <c r="I292" s="1003"/>
      <c r="J292" s="1003"/>
      <c r="K292" s="1003"/>
      <c r="L292" s="1003"/>
      <c r="M292" s="1003"/>
      <c r="N292" s="1003"/>
    </row>
    <row r="293" spans="1:14" ht="12.75">
      <c r="A293" s="1003"/>
      <c r="B293" s="1003"/>
      <c r="C293" s="1003"/>
      <c r="D293" s="1003"/>
      <c r="E293" s="1003"/>
      <c r="F293" s="1003"/>
      <c r="G293" s="1003"/>
      <c r="H293" s="1003"/>
      <c r="I293" s="1003"/>
      <c r="J293" s="1003"/>
      <c r="K293" s="1003"/>
      <c r="L293" s="1003"/>
      <c r="M293" s="1003"/>
      <c r="N293" s="1003"/>
    </row>
    <row r="294" spans="1:14" ht="12.75">
      <c r="A294" s="1003"/>
      <c r="B294" s="1003"/>
      <c r="C294" s="1003"/>
      <c r="D294" s="1003"/>
      <c r="E294" s="1003"/>
      <c r="F294" s="1003"/>
      <c r="G294" s="1003"/>
      <c r="H294" s="1003"/>
      <c r="I294" s="1003"/>
      <c r="J294" s="1003"/>
      <c r="K294" s="1003"/>
      <c r="L294" s="1003"/>
      <c r="M294" s="1003"/>
      <c r="N294" s="1003"/>
    </row>
    <row r="295" spans="1:14" ht="12.75">
      <c r="A295" s="1003"/>
      <c r="B295" s="1003"/>
      <c r="C295" s="1003"/>
      <c r="D295" s="1003"/>
      <c r="E295" s="1003"/>
      <c r="F295" s="1003"/>
      <c r="G295" s="1003"/>
      <c r="H295" s="1003"/>
      <c r="I295" s="1003"/>
      <c r="J295" s="1003"/>
      <c r="K295" s="1003"/>
      <c r="L295" s="1003"/>
      <c r="M295" s="1003"/>
      <c r="N295" s="1003"/>
    </row>
    <row r="296" spans="1:14" ht="12.75">
      <c r="A296" s="1003"/>
      <c r="B296" s="1003"/>
      <c r="C296" s="1003"/>
      <c r="D296" s="1003"/>
      <c r="E296" s="1003"/>
      <c r="F296" s="1003"/>
      <c r="G296" s="1003"/>
      <c r="H296" s="1003"/>
      <c r="I296" s="1003"/>
      <c r="J296" s="1003"/>
      <c r="K296" s="1003"/>
      <c r="L296" s="1003"/>
      <c r="M296" s="1003"/>
      <c r="N296" s="1003"/>
    </row>
    <row r="297" spans="1:14" ht="12.75">
      <c r="A297" s="1003"/>
      <c r="B297" s="1003"/>
      <c r="C297" s="1003"/>
      <c r="D297" s="1003"/>
      <c r="E297" s="1003"/>
      <c r="F297" s="1003"/>
      <c r="G297" s="1003"/>
      <c r="H297" s="1003"/>
      <c r="I297" s="1003"/>
      <c r="J297" s="1003"/>
      <c r="K297" s="1003"/>
      <c r="L297" s="1003"/>
      <c r="M297" s="1003"/>
      <c r="N297" s="1003"/>
    </row>
    <row r="298" spans="1:14" ht="12.75">
      <c r="A298" s="1003"/>
      <c r="B298" s="1003"/>
      <c r="C298" s="1003"/>
      <c r="D298" s="1003"/>
      <c r="E298" s="1003"/>
      <c r="F298" s="1003"/>
      <c r="G298" s="1003"/>
      <c r="H298" s="1003"/>
      <c r="I298" s="1003"/>
      <c r="J298" s="1003"/>
      <c r="K298" s="1003"/>
      <c r="L298" s="1003"/>
      <c r="M298" s="1003"/>
      <c r="N298" s="1003"/>
    </row>
    <row r="299" spans="1:14" ht="12.75">
      <c r="A299" s="1003"/>
      <c r="B299" s="1003"/>
      <c r="C299" s="1003"/>
      <c r="D299" s="1003"/>
      <c r="E299" s="1003"/>
      <c r="F299" s="1003"/>
      <c r="G299" s="1003"/>
      <c r="H299" s="1003"/>
      <c r="I299" s="1003"/>
      <c r="J299" s="1003"/>
      <c r="K299" s="1003"/>
      <c r="L299" s="1003"/>
      <c r="M299" s="1003"/>
      <c r="N299" s="1003"/>
    </row>
    <row r="300" spans="1:14" ht="12.75">
      <c r="A300" s="1003"/>
      <c r="B300" s="1003"/>
      <c r="C300" s="1003"/>
      <c r="D300" s="1003"/>
      <c r="E300" s="1003"/>
      <c r="F300" s="1003"/>
      <c r="G300" s="1003"/>
      <c r="H300" s="1003"/>
      <c r="I300" s="1003"/>
      <c r="J300" s="1003"/>
      <c r="K300" s="1003"/>
      <c r="L300" s="1003"/>
      <c r="M300" s="1003"/>
      <c r="N300" s="1003"/>
    </row>
    <row r="301" spans="1:14" ht="12.75">
      <c r="A301" s="1003"/>
      <c r="B301" s="1003"/>
      <c r="C301" s="1003"/>
      <c r="D301" s="1003"/>
      <c r="E301" s="1003"/>
      <c r="F301" s="1003"/>
      <c r="G301" s="1003"/>
      <c r="H301" s="1003"/>
      <c r="I301" s="1003"/>
      <c r="J301" s="1003"/>
      <c r="K301" s="1003"/>
      <c r="L301" s="1003"/>
      <c r="M301" s="1003"/>
      <c r="N301" s="1003"/>
    </row>
    <row r="302" spans="1:14" ht="12.75">
      <c r="A302" s="1003"/>
      <c r="B302" s="1003"/>
      <c r="C302" s="1003"/>
      <c r="D302" s="1003"/>
      <c r="E302" s="1003"/>
      <c r="F302" s="1003"/>
      <c r="G302" s="1003"/>
      <c r="H302" s="1003"/>
      <c r="I302" s="1003"/>
      <c r="J302" s="1003"/>
      <c r="K302" s="1003"/>
      <c r="L302" s="1003"/>
      <c r="M302" s="1003"/>
      <c r="N302" s="1003"/>
    </row>
    <row r="303" spans="1:14" ht="12.75">
      <c r="A303" s="1003"/>
      <c r="B303" s="1003"/>
      <c r="C303" s="1003"/>
      <c r="D303" s="1003"/>
      <c r="E303" s="1003"/>
      <c r="F303" s="1003"/>
      <c r="G303" s="1003"/>
      <c r="H303" s="1003"/>
      <c r="I303" s="1003"/>
      <c r="J303" s="1003"/>
      <c r="K303" s="1003"/>
      <c r="L303" s="1003"/>
      <c r="M303" s="1003"/>
      <c r="N303" s="1003"/>
    </row>
    <row r="304" spans="1:14" ht="12.75">
      <c r="A304" s="1003"/>
      <c r="B304" s="1003"/>
      <c r="C304" s="1003"/>
      <c r="D304" s="1003"/>
      <c r="E304" s="1003"/>
      <c r="F304" s="1003"/>
      <c r="G304" s="1003"/>
      <c r="H304" s="1003"/>
      <c r="I304" s="1003"/>
      <c r="J304" s="1003"/>
      <c r="K304" s="1003"/>
      <c r="L304" s="1003"/>
      <c r="M304" s="1003"/>
      <c r="N304" s="1003"/>
    </row>
    <row r="305" spans="1:14" ht="12.75">
      <c r="A305" s="1003"/>
      <c r="B305" s="1003"/>
      <c r="C305" s="1003"/>
      <c r="D305" s="1003"/>
      <c r="E305" s="1003"/>
      <c r="F305" s="1003"/>
      <c r="G305" s="1003"/>
      <c r="H305" s="1003"/>
      <c r="I305" s="1003"/>
      <c r="J305" s="1003"/>
      <c r="K305" s="1003"/>
      <c r="L305" s="1003"/>
      <c r="M305" s="1003"/>
      <c r="N305" s="1003"/>
    </row>
    <row r="306" spans="1:14" ht="12.75">
      <c r="A306" s="1003"/>
      <c r="B306" s="1003"/>
      <c r="C306" s="1003"/>
      <c r="D306" s="1003"/>
      <c r="E306" s="1003"/>
      <c r="F306" s="1003"/>
      <c r="G306" s="1003"/>
      <c r="H306" s="1003"/>
      <c r="I306" s="1003"/>
      <c r="J306" s="1003"/>
      <c r="K306" s="1003"/>
      <c r="L306" s="1003"/>
      <c r="M306" s="1003"/>
      <c r="N306" s="1003"/>
    </row>
    <row r="307" spans="1:14" ht="12.75">
      <c r="A307" s="1003"/>
      <c r="B307" s="1003"/>
      <c r="C307" s="1003"/>
      <c r="D307" s="1003"/>
      <c r="E307" s="1003"/>
      <c r="F307" s="1003"/>
      <c r="G307" s="1003"/>
      <c r="H307" s="1003"/>
      <c r="I307" s="1003"/>
      <c r="J307" s="1003"/>
      <c r="K307" s="1003"/>
      <c r="L307" s="1003"/>
      <c r="M307" s="1003"/>
      <c r="N307" s="1003"/>
    </row>
    <row r="308" spans="1:14" ht="12.75">
      <c r="A308" s="1003"/>
      <c r="B308" s="1003"/>
      <c r="C308" s="1003"/>
      <c r="D308" s="1003"/>
      <c r="E308" s="1003"/>
      <c r="F308" s="1003"/>
      <c r="G308" s="1003"/>
      <c r="H308" s="1003"/>
      <c r="I308" s="1003"/>
      <c r="J308" s="1003"/>
      <c r="K308" s="1003"/>
      <c r="L308" s="1003"/>
      <c r="M308" s="1003"/>
      <c r="N308" s="1003"/>
    </row>
    <row r="309" spans="1:14" ht="12.75">
      <c r="A309" s="1003"/>
      <c r="B309" s="1003"/>
      <c r="C309" s="1003"/>
      <c r="D309" s="1003"/>
      <c r="E309" s="1003"/>
      <c r="F309" s="1003"/>
      <c r="G309" s="1003"/>
      <c r="H309" s="1003"/>
      <c r="I309" s="1003"/>
      <c r="J309" s="1003"/>
      <c r="K309" s="1003"/>
      <c r="L309" s="1003"/>
      <c r="M309" s="1003"/>
      <c r="N309" s="1003"/>
    </row>
    <row r="310" spans="1:14" ht="12.75">
      <c r="A310" s="1003"/>
      <c r="B310" s="1003"/>
      <c r="C310" s="1003"/>
      <c r="D310" s="1003"/>
      <c r="E310" s="1003"/>
      <c r="F310" s="1003"/>
      <c r="G310" s="1003"/>
      <c r="H310" s="1003"/>
      <c r="I310" s="1003"/>
      <c r="J310" s="1003"/>
      <c r="K310" s="1003"/>
      <c r="L310" s="1003"/>
      <c r="M310" s="1003"/>
      <c r="N310" s="1003"/>
    </row>
    <row r="311" spans="1:14" ht="12.75">
      <c r="A311" s="1003"/>
      <c r="B311" s="1003"/>
      <c r="C311" s="1003"/>
      <c r="D311" s="1003"/>
      <c r="E311" s="1003"/>
      <c r="F311" s="1003"/>
      <c r="G311" s="1003"/>
      <c r="H311" s="1003"/>
      <c r="I311" s="1003"/>
      <c r="J311" s="1003"/>
      <c r="K311" s="1003"/>
      <c r="L311" s="1003"/>
      <c r="M311" s="1003"/>
      <c r="N311" s="1003"/>
    </row>
    <row r="312" spans="1:14" ht="12.75">
      <c r="A312" s="1003"/>
      <c r="B312" s="1003"/>
      <c r="C312" s="1003"/>
      <c r="D312" s="1003"/>
      <c r="E312" s="1003"/>
      <c r="F312" s="1003"/>
      <c r="G312" s="1003"/>
      <c r="H312" s="1003"/>
      <c r="I312" s="1003"/>
      <c r="J312" s="1003"/>
      <c r="K312" s="1003"/>
      <c r="L312" s="1003"/>
      <c r="M312" s="1003"/>
      <c r="N312" s="1003"/>
    </row>
    <row r="313" spans="1:14" ht="12.75">
      <c r="A313" s="1003"/>
      <c r="B313" s="1003"/>
      <c r="C313" s="1003"/>
      <c r="D313" s="1003"/>
      <c r="E313" s="1003"/>
      <c r="F313" s="1003"/>
      <c r="G313" s="1003"/>
      <c r="H313" s="1003"/>
      <c r="I313" s="1003"/>
      <c r="J313" s="1003"/>
      <c r="K313" s="1003"/>
      <c r="L313" s="1003"/>
      <c r="M313" s="1003"/>
      <c r="N313" s="1003"/>
    </row>
    <row r="314" spans="1:14" ht="12.75">
      <c r="A314" s="1003"/>
      <c r="B314" s="1003"/>
      <c r="C314" s="1003"/>
      <c r="D314" s="1003"/>
      <c r="E314" s="1003"/>
      <c r="F314" s="1003"/>
      <c r="G314" s="1003"/>
      <c r="H314" s="1003"/>
      <c r="I314" s="1003"/>
      <c r="J314" s="1003"/>
      <c r="K314" s="1003"/>
      <c r="L314" s="1003"/>
      <c r="M314" s="1003"/>
      <c r="N314" s="1003"/>
    </row>
    <row r="315" spans="1:14" ht="12.75">
      <c r="A315" s="1003"/>
      <c r="B315" s="1003"/>
      <c r="C315" s="1003"/>
      <c r="D315" s="1003"/>
      <c r="E315" s="1003"/>
      <c r="F315" s="1003"/>
      <c r="G315" s="1003"/>
      <c r="H315" s="1003"/>
      <c r="I315" s="1003"/>
      <c r="J315" s="1003"/>
      <c r="K315" s="1003"/>
      <c r="L315" s="1003"/>
      <c r="M315" s="1003"/>
      <c r="N315" s="1003"/>
    </row>
    <row r="316" spans="1:14" ht="12.75">
      <c r="A316" s="1003"/>
      <c r="B316" s="1003"/>
      <c r="C316" s="1003"/>
      <c r="D316" s="1003"/>
      <c r="E316" s="1003"/>
      <c r="F316" s="1003"/>
      <c r="G316" s="1003"/>
      <c r="H316" s="1003"/>
      <c r="I316" s="1003"/>
      <c r="J316" s="1003"/>
      <c r="K316" s="1003"/>
      <c r="L316" s="1003"/>
      <c r="M316" s="1003"/>
      <c r="N316" s="1003"/>
    </row>
    <row r="317" spans="1:14" ht="12.75">
      <c r="A317" s="1003"/>
      <c r="B317" s="1003"/>
      <c r="C317" s="1003"/>
      <c r="D317" s="1003"/>
      <c r="E317" s="1003"/>
      <c r="F317" s="1003"/>
      <c r="G317" s="1003"/>
      <c r="H317" s="1003"/>
      <c r="I317" s="1003"/>
      <c r="J317" s="1003"/>
      <c r="K317" s="1003"/>
      <c r="L317" s="1003"/>
      <c r="M317" s="1003"/>
      <c r="N317" s="1003"/>
    </row>
    <row r="318" spans="1:14" ht="12.75">
      <c r="A318" s="1003"/>
      <c r="B318" s="1003"/>
      <c r="C318" s="1003"/>
      <c r="D318" s="1003"/>
      <c r="E318" s="1003"/>
      <c r="F318" s="1003"/>
      <c r="G318" s="1003"/>
      <c r="H318" s="1003"/>
      <c r="I318" s="1003"/>
      <c r="J318" s="1003"/>
      <c r="K318" s="1003"/>
      <c r="L318" s="1003"/>
      <c r="M318" s="1003"/>
      <c r="N318" s="1003"/>
    </row>
    <row r="319" spans="1:14" ht="12.75">
      <c r="A319" s="1003"/>
      <c r="B319" s="1003"/>
      <c r="C319" s="1003"/>
      <c r="D319" s="1003"/>
      <c r="E319" s="1003"/>
      <c r="F319" s="1003"/>
      <c r="G319" s="1003"/>
      <c r="H319" s="1003"/>
      <c r="I319" s="1003"/>
      <c r="J319" s="1003"/>
      <c r="K319" s="1003"/>
      <c r="L319" s="1003"/>
      <c r="M319" s="1003"/>
      <c r="N319" s="1003"/>
    </row>
    <row r="320" spans="1:14" ht="12.75">
      <c r="A320" s="1003"/>
      <c r="B320" s="1003"/>
      <c r="C320" s="1003"/>
      <c r="D320" s="1003"/>
      <c r="E320" s="1003"/>
      <c r="F320" s="1003"/>
      <c r="G320" s="1003"/>
      <c r="H320" s="1003"/>
      <c r="I320" s="1003"/>
      <c r="J320" s="1003"/>
      <c r="K320" s="1003"/>
      <c r="L320" s="1003"/>
      <c r="M320" s="1003"/>
      <c r="N320" s="1003"/>
    </row>
    <row r="321" spans="1:14" ht="12.75">
      <c r="A321" s="1003"/>
      <c r="B321" s="1003"/>
      <c r="C321" s="1003"/>
      <c r="D321" s="1003"/>
      <c r="E321" s="1003"/>
      <c r="F321" s="1003"/>
      <c r="G321" s="1003"/>
      <c r="H321" s="1003"/>
      <c r="I321" s="1003"/>
      <c r="J321" s="1003"/>
      <c r="K321" s="1003"/>
      <c r="L321" s="1003"/>
      <c r="M321" s="1003"/>
      <c r="N321" s="1003"/>
    </row>
    <row r="322" spans="1:14" ht="12.75">
      <c r="A322" s="1003"/>
      <c r="B322" s="1003"/>
      <c r="C322" s="1003"/>
      <c r="D322" s="1003"/>
      <c r="E322" s="1003"/>
      <c r="F322" s="1003"/>
      <c r="G322" s="1003"/>
      <c r="H322" s="1003"/>
      <c r="I322" s="1003"/>
      <c r="J322" s="1003"/>
      <c r="K322" s="1003"/>
      <c r="L322" s="1003"/>
      <c r="M322" s="1003"/>
      <c r="N322" s="1003"/>
    </row>
    <row r="323" spans="1:14" ht="12.75">
      <c r="A323" s="1003"/>
      <c r="B323" s="1003"/>
      <c r="C323" s="1003"/>
      <c r="D323" s="1003"/>
      <c r="E323" s="1003"/>
      <c r="F323" s="1003"/>
      <c r="G323" s="1003"/>
      <c r="H323" s="1003"/>
      <c r="I323" s="1003"/>
      <c r="J323" s="1003"/>
      <c r="K323" s="1003"/>
      <c r="L323" s="1003"/>
      <c r="M323" s="1003"/>
      <c r="N323" s="1003"/>
    </row>
    <row r="324" spans="1:14" ht="12.75">
      <c r="A324" s="1003"/>
      <c r="B324" s="1003"/>
      <c r="C324" s="1003"/>
      <c r="D324" s="1003"/>
      <c r="E324" s="1003"/>
      <c r="F324" s="1003"/>
      <c r="G324" s="1003"/>
      <c r="H324" s="1003"/>
      <c r="I324" s="1003"/>
      <c r="J324" s="1003"/>
      <c r="K324" s="1003"/>
      <c r="L324" s="1003"/>
      <c r="M324" s="1003"/>
      <c r="N324" s="1003"/>
    </row>
    <row r="325" spans="1:14" ht="12.75">
      <c r="A325" s="1003"/>
      <c r="B325" s="1003"/>
      <c r="C325" s="1003"/>
      <c r="D325" s="1003"/>
      <c r="E325" s="1003"/>
      <c r="F325" s="1003"/>
      <c r="G325" s="1003"/>
      <c r="H325" s="1003"/>
      <c r="I325" s="1003"/>
      <c r="J325" s="1003"/>
      <c r="K325" s="1003"/>
      <c r="L325" s="1003"/>
      <c r="M325" s="1003"/>
      <c r="N325" s="1003"/>
    </row>
    <row r="326" spans="1:14" ht="12.75">
      <c r="A326" s="1003"/>
      <c r="B326" s="1003"/>
      <c r="C326" s="1003"/>
      <c r="D326" s="1003"/>
      <c r="E326" s="1003"/>
      <c r="F326" s="1003"/>
      <c r="G326" s="1003"/>
      <c r="H326" s="1003"/>
      <c r="I326" s="1003"/>
      <c r="J326" s="1003"/>
      <c r="K326" s="1003"/>
      <c r="L326" s="1003"/>
      <c r="M326" s="1003"/>
      <c r="N326" s="1003"/>
    </row>
    <row r="327" spans="1:14" ht="12.75">
      <c r="A327" s="1003"/>
      <c r="B327" s="1003"/>
      <c r="C327" s="1003"/>
      <c r="D327" s="1003"/>
      <c r="E327" s="1003"/>
      <c r="F327" s="1003"/>
      <c r="G327" s="1003"/>
      <c r="H327" s="1003"/>
      <c r="I327" s="1003"/>
      <c r="J327" s="1003"/>
      <c r="K327" s="1003"/>
      <c r="L327" s="1003"/>
      <c r="M327" s="1003"/>
      <c r="N327" s="1003"/>
    </row>
    <row r="328" spans="1:14" ht="12.75">
      <c r="A328" s="1003"/>
      <c r="B328" s="1003"/>
      <c r="C328" s="1003"/>
      <c r="D328" s="1003"/>
      <c r="E328" s="1003"/>
      <c r="F328" s="1003"/>
      <c r="G328" s="1003"/>
      <c r="H328" s="1003"/>
      <c r="I328" s="1003"/>
      <c r="J328" s="1003"/>
      <c r="K328" s="1003"/>
      <c r="L328" s="1003"/>
      <c r="M328" s="1003"/>
      <c r="N328" s="1003"/>
    </row>
    <row r="329" spans="1:14" ht="12.75">
      <c r="A329" s="1003"/>
      <c r="B329" s="1003"/>
      <c r="C329" s="1003"/>
      <c r="D329" s="1003"/>
      <c r="E329" s="1003"/>
      <c r="F329" s="1003"/>
      <c r="G329" s="1003"/>
      <c r="H329" s="1003"/>
      <c r="I329" s="1003"/>
      <c r="J329" s="1003"/>
      <c r="K329" s="1003"/>
      <c r="L329" s="1003"/>
      <c r="M329" s="1003"/>
      <c r="N329" s="1003"/>
    </row>
    <row r="330" spans="1:14" ht="12.75">
      <c r="A330" s="1003"/>
      <c r="B330" s="1003"/>
      <c r="C330" s="1003"/>
      <c r="D330" s="1003"/>
      <c r="E330" s="1003"/>
      <c r="F330" s="1003"/>
      <c r="G330" s="1003"/>
      <c r="H330" s="1003"/>
      <c r="I330" s="1003"/>
      <c r="J330" s="1003"/>
      <c r="K330" s="1003"/>
      <c r="L330" s="1003"/>
      <c r="M330" s="1003"/>
      <c r="N330" s="1003"/>
    </row>
    <row r="331" spans="1:14" ht="12.75">
      <c r="A331" s="1003"/>
      <c r="B331" s="1003"/>
      <c r="C331" s="1003"/>
      <c r="D331" s="1003"/>
      <c r="E331" s="1003"/>
      <c r="F331" s="1003"/>
      <c r="G331" s="1003"/>
      <c r="H331" s="1003"/>
      <c r="I331" s="1003"/>
      <c r="J331" s="1003"/>
      <c r="K331" s="1003"/>
      <c r="L331" s="1003"/>
      <c r="M331" s="1003"/>
      <c r="N331" s="1003"/>
    </row>
    <row r="332" spans="1:14" ht="12.75">
      <c r="A332" s="1003"/>
      <c r="B332" s="1003"/>
      <c r="C332" s="1003"/>
      <c r="D332" s="1003"/>
      <c r="E332" s="1003"/>
      <c r="F332" s="1003"/>
      <c r="G332" s="1003"/>
      <c r="H332" s="1003"/>
      <c r="I332" s="1003"/>
      <c r="J332" s="1003"/>
      <c r="K332" s="1003"/>
      <c r="L332" s="1003"/>
      <c r="M332" s="1003"/>
      <c r="N332" s="1003"/>
    </row>
    <row r="333" spans="1:14" ht="12.75">
      <c r="A333" s="1003"/>
      <c r="B333" s="1003"/>
      <c r="C333" s="1003"/>
      <c r="D333" s="1003"/>
      <c r="E333" s="1003"/>
      <c r="F333" s="1003"/>
      <c r="G333" s="1003"/>
      <c r="H333" s="1003"/>
      <c r="I333" s="1003"/>
      <c r="J333" s="1003"/>
      <c r="K333" s="1003"/>
      <c r="L333" s="1003"/>
      <c r="M333" s="1003"/>
      <c r="N333" s="1003"/>
    </row>
    <row r="334" spans="1:14" ht="12.75">
      <c r="A334" s="1003"/>
      <c r="B334" s="1003"/>
      <c r="C334" s="1003"/>
      <c r="D334" s="1003"/>
      <c r="E334" s="1003"/>
      <c r="F334" s="1003"/>
      <c r="G334" s="1003"/>
      <c r="H334" s="1003"/>
      <c r="I334" s="1003"/>
      <c r="J334" s="1003"/>
      <c r="K334" s="1003"/>
      <c r="L334" s="1003"/>
      <c r="M334" s="1003"/>
      <c r="N334" s="1003"/>
    </row>
    <row r="335" spans="1:14" ht="12.75">
      <c r="A335" s="1003"/>
      <c r="B335" s="1003"/>
      <c r="C335" s="1003"/>
      <c r="D335" s="1003"/>
      <c r="E335" s="1003"/>
      <c r="F335" s="1003"/>
      <c r="G335" s="1003"/>
      <c r="H335" s="1003"/>
      <c r="I335" s="1003"/>
      <c r="J335" s="1003"/>
      <c r="K335" s="1003"/>
      <c r="L335" s="1003"/>
      <c r="M335" s="1003"/>
      <c r="N335" s="1003"/>
    </row>
    <row r="336" spans="1:14" ht="12.75">
      <c r="A336" s="1003"/>
      <c r="B336" s="1003"/>
      <c r="C336" s="1003"/>
      <c r="D336" s="1003"/>
      <c r="E336" s="1003"/>
      <c r="F336" s="1003"/>
      <c r="G336" s="1003"/>
      <c r="H336" s="1003"/>
      <c r="I336" s="1003"/>
      <c r="J336" s="1003"/>
      <c r="K336" s="1003"/>
      <c r="L336" s="1003"/>
      <c r="M336" s="1003"/>
      <c r="N336" s="1003"/>
    </row>
    <row r="337" spans="1:14" ht="12.75">
      <c r="A337" s="1003"/>
      <c r="B337" s="1003"/>
      <c r="C337" s="1003"/>
      <c r="D337" s="1003"/>
      <c r="E337" s="1003"/>
      <c r="F337" s="1003"/>
      <c r="G337" s="1003"/>
      <c r="H337" s="1003"/>
      <c r="I337" s="1003"/>
      <c r="J337" s="1003"/>
      <c r="K337" s="1003"/>
      <c r="L337" s="1003"/>
      <c r="M337" s="1003"/>
      <c r="N337" s="1003"/>
    </row>
    <row r="338" spans="1:14" ht="12.75">
      <c r="A338" s="1003"/>
      <c r="B338" s="1003"/>
      <c r="C338" s="1003"/>
      <c r="D338" s="1003"/>
      <c r="E338" s="1003"/>
      <c r="F338" s="1003"/>
      <c r="G338" s="1003"/>
      <c r="H338" s="1003"/>
      <c r="I338" s="1003"/>
      <c r="J338" s="1003"/>
      <c r="K338" s="1003"/>
      <c r="L338" s="1003"/>
      <c r="M338" s="1003"/>
      <c r="N338" s="1003"/>
    </row>
    <row r="339" spans="1:14" ht="12.75">
      <c r="A339" s="1003"/>
      <c r="B339" s="1003"/>
      <c r="C339" s="1003"/>
      <c r="D339" s="1003"/>
      <c r="E339" s="1003"/>
      <c r="F339" s="1003"/>
      <c r="G339" s="1003"/>
      <c r="H339" s="1003"/>
      <c r="I339" s="1003"/>
      <c r="J339" s="1003"/>
      <c r="K339" s="1003"/>
      <c r="L339" s="1003"/>
      <c r="M339" s="1003"/>
      <c r="N339" s="1003"/>
    </row>
    <row r="340" spans="1:14" ht="12.75">
      <c r="A340" s="1003"/>
      <c r="B340" s="1003"/>
      <c r="C340" s="1003"/>
      <c r="D340" s="1003"/>
      <c r="E340" s="1003"/>
      <c r="F340" s="1003"/>
      <c r="G340" s="1003"/>
      <c r="H340" s="1003"/>
      <c r="I340" s="1003"/>
      <c r="J340" s="1003"/>
      <c r="K340" s="1003"/>
      <c r="L340" s="1003"/>
      <c r="M340" s="1003"/>
      <c r="N340" s="1003"/>
    </row>
    <row r="341" spans="1:14" ht="12.75">
      <c r="A341" s="1003"/>
      <c r="B341" s="1003"/>
      <c r="C341" s="1003"/>
      <c r="D341" s="1003"/>
      <c r="E341" s="1003"/>
      <c r="F341" s="1003"/>
      <c r="G341" s="1003"/>
      <c r="H341" s="1003"/>
      <c r="I341" s="1003"/>
      <c r="J341" s="1003"/>
      <c r="K341" s="1003"/>
      <c r="L341" s="1003"/>
      <c r="M341" s="1003"/>
      <c r="N341" s="1003"/>
    </row>
    <row r="342" spans="1:14" ht="12.75">
      <c r="A342" s="1003"/>
      <c r="B342" s="1003"/>
      <c r="C342" s="1003"/>
      <c r="D342" s="1003"/>
      <c r="E342" s="1003"/>
      <c r="F342" s="1003"/>
      <c r="G342" s="1003"/>
      <c r="H342" s="1003"/>
      <c r="I342" s="1003"/>
      <c r="J342" s="1003"/>
      <c r="K342" s="1003"/>
      <c r="L342" s="1003"/>
      <c r="M342" s="1003"/>
      <c r="N342" s="1003"/>
    </row>
    <row r="343" spans="1:14" ht="12.75">
      <c r="A343" s="1003"/>
      <c r="B343" s="1003"/>
      <c r="C343" s="1003"/>
      <c r="D343" s="1003"/>
      <c r="E343" s="1003"/>
      <c r="F343" s="1003"/>
      <c r="G343" s="1003"/>
      <c r="H343" s="1003"/>
      <c r="I343" s="1003"/>
      <c r="J343" s="1003"/>
      <c r="K343" s="1003"/>
      <c r="L343" s="1003"/>
      <c r="M343" s="1003"/>
      <c r="N343" s="1003"/>
    </row>
    <row r="344" spans="1:14" ht="12.75">
      <c r="A344" s="1003"/>
      <c r="B344" s="1003"/>
      <c r="C344" s="1003"/>
      <c r="D344" s="1003"/>
      <c r="E344" s="1003"/>
      <c r="F344" s="1003"/>
      <c r="G344" s="1003"/>
      <c r="H344" s="1003"/>
      <c r="I344" s="1003"/>
      <c r="J344" s="1003"/>
      <c r="K344" s="1003"/>
      <c r="L344" s="1003"/>
      <c r="M344" s="1003"/>
      <c r="N344" s="1003"/>
    </row>
    <row r="345" spans="1:14" ht="12.75">
      <c r="A345" s="1003"/>
      <c r="B345" s="1003"/>
      <c r="C345" s="1003"/>
      <c r="D345" s="1003"/>
      <c r="E345" s="1003"/>
      <c r="F345" s="1003"/>
      <c r="G345" s="1003"/>
      <c r="H345" s="1003"/>
      <c r="I345" s="1003"/>
      <c r="J345" s="1003"/>
      <c r="K345" s="1003"/>
      <c r="L345" s="1003"/>
      <c r="M345" s="1003"/>
      <c r="N345" s="1003"/>
    </row>
    <row r="346" spans="1:14" ht="12.75">
      <c r="A346" s="1003"/>
      <c r="B346" s="1003"/>
      <c r="C346" s="1003"/>
      <c r="D346" s="1003"/>
      <c r="E346" s="1003"/>
      <c r="F346" s="1003"/>
      <c r="G346" s="1003"/>
      <c r="H346" s="1003"/>
      <c r="I346" s="1003"/>
      <c r="J346" s="1003"/>
      <c r="K346" s="1003"/>
      <c r="L346" s="1003"/>
      <c r="M346" s="1003"/>
      <c r="N346" s="1003"/>
    </row>
    <row r="347" spans="1:14" ht="12.75">
      <c r="A347" s="1003"/>
      <c r="B347" s="1003"/>
      <c r="C347" s="1003"/>
      <c r="D347" s="1003"/>
      <c r="E347" s="1003"/>
      <c r="F347" s="1003"/>
      <c r="G347" s="1003"/>
      <c r="H347" s="1003"/>
      <c r="I347" s="1003"/>
      <c r="J347" s="1003"/>
      <c r="K347" s="1003"/>
      <c r="L347" s="1003"/>
      <c r="M347" s="1003"/>
      <c r="N347" s="1003"/>
    </row>
    <row r="348" spans="1:14" ht="12.75">
      <c r="A348" s="1003"/>
      <c r="B348" s="1003"/>
      <c r="C348" s="1003"/>
      <c r="D348" s="1003"/>
      <c r="E348" s="1003"/>
      <c r="F348" s="1003"/>
      <c r="G348" s="1003"/>
      <c r="H348" s="1003"/>
      <c r="I348" s="1003"/>
      <c r="J348" s="1003"/>
      <c r="K348" s="1003"/>
      <c r="L348" s="1003"/>
      <c r="M348" s="1003"/>
      <c r="N348" s="1003"/>
    </row>
    <row r="349" spans="1:14" ht="12.75">
      <c r="A349" s="1003"/>
      <c r="B349" s="1003"/>
      <c r="C349" s="1003"/>
      <c r="D349" s="1003"/>
      <c r="E349" s="1003"/>
      <c r="F349" s="1003"/>
      <c r="G349" s="1003"/>
      <c r="H349" s="1003"/>
      <c r="I349" s="1003"/>
      <c r="J349" s="1003"/>
      <c r="K349" s="1003"/>
      <c r="L349" s="1003"/>
      <c r="M349" s="1003"/>
      <c r="N349" s="1003"/>
    </row>
    <row r="350" spans="1:14" ht="12.75">
      <c r="A350" s="1003"/>
      <c r="B350" s="1003"/>
      <c r="C350" s="1003"/>
      <c r="D350" s="1003"/>
      <c r="E350" s="1003"/>
      <c r="F350" s="1003"/>
      <c r="G350" s="1003"/>
      <c r="H350" s="1003"/>
      <c r="I350" s="1003"/>
      <c r="J350" s="1003"/>
      <c r="K350" s="1003"/>
      <c r="L350" s="1003"/>
      <c r="M350" s="1003"/>
      <c r="N350" s="1003"/>
    </row>
    <row r="351" spans="1:14" ht="12.75">
      <c r="A351" s="1003"/>
      <c r="B351" s="1003"/>
      <c r="C351" s="1003"/>
      <c r="D351" s="1003"/>
      <c r="E351" s="1003"/>
      <c r="F351" s="1003"/>
      <c r="G351" s="1003"/>
      <c r="H351" s="1003"/>
      <c r="I351" s="1003"/>
      <c r="J351" s="1003"/>
      <c r="K351" s="1003"/>
      <c r="L351" s="1003"/>
      <c r="M351" s="1003"/>
      <c r="N351" s="1003"/>
    </row>
    <row r="352" spans="1:14" ht="12.75">
      <c r="A352" s="1003"/>
      <c r="B352" s="1003"/>
      <c r="C352" s="1003"/>
      <c r="D352" s="1003"/>
      <c r="E352" s="1003"/>
      <c r="F352" s="1003"/>
      <c r="G352" s="1003"/>
      <c r="H352" s="1003"/>
      <c r="I352" s="1003"/>
      <c r="J352" s="1003"/>
      <c r="K352" s="1003"/>
      <c r="L352" s="1003"/>
      <c r="M352" s="1003"/>
      <c r="N352" s="1003"/>
    </row>
    <row r="353" spans="1:14" ht="12.75">
      <c r="A353" s="1003"/>
      <c r="B353" s="1003"/>
      <c r="C353" s="1003"/>
      <c r="D353" s="1003"/>
      <c r="E353" s="1003"/>
      <c r="F353" s="1003"/>
      <c r="G353" s="1003"/>
      <c r="H353" s="1003"/>
      <c r="I353" s="1003"/>
      <c r="J353" s="1003"/>
      <c r="K353" s="1003"/>
      <c r="L353" s="1003"/>
      <c r="M353" s="1003"/>
      <c r="N353" s="1003"/>
    </row>
    <row r="354" spans="1:14" ht="12.75">
      <c r="A354" s="1003"/>
      <c r="B354" s="1003"/>
      <c r="C354" s="1003"/>
      <c r="D354" s="1003"/>
      <c r="E354" s="1003"/>
      <c r="F354" s="1003"/>
      <c r="G354" s="1003"/>
      <c r="H354" s="1003"/>
      <c r="I354" s="1003"/>
      <c r="J354" s="1003"/>
      <c r="K354" s="1003"/>
      <c r="L354" s="1003"/>
      <c r="M354" s="1003"/>
      <c r="N354" s="1003"/>
    </row>
    <row r="355" spans="1:14" ht="12.75">
      <c r="A355" s="1003"/>
      <c r="B355" s="1003"/>
      <c r="C355" s="1003"/>
      <c r="D355" s="1003"/>
      <c r="E355" s="1003"/>
      <c r="F355" s="1003"/>
      <c r="G355" s="1003"/>
      <c r="H355" s="1003"/>
      <c r="I355" s="1003"/>
      <c r="J355" s="1003"/>
      <c r="K355" s="1003"/>
      <c r="L355" s="1003"/>
      <c r="M355" s="1003"/>
      <c r="N355" s="1003"/>
    </row>
    <row r="356" spans="1:14" ht="12.75">
      <c r="A356" s="1003"/>
      <c r="B356" s="1003"/>
      <c r="C356" s="1003"/>
      <c r="D356" s="1003"/>
      <c r="E356" s="1003"/>
      <c r="F356" s="1003"/>
      <c r="G356" s="1003"/>
      <c r="H356" s="1003"/>
      <c r="I356" s="1003"/>
      <c r="J356" s="1003"/>
      <c r="K356" s="1003"/>
      <c r="L356" s="1003"/>
      <c r="M356" s="1003"/>
      <c r="N356" s="1003"/>
    </row>
    <row r="357" spans="1:14" ht="12.75">
      <c r="A357" s="1003"/>
      <c r="B357" s="1003"/>
      <c r="C357" s="1003"/>
      <c r="D357" s="1003"/>
      <c r="E357" s="1003"/>
      <c r="F357" s="1003"/>
      <c r="G357" s="1003"/>
      <c r="H357" s="1003"/>
      <c r="I357" s="1003"/>
      <c r="J357" s="1003"/>
      <c r="K357" s="1003"/>
      <c r="L357" s="1003"/>
      <c r="M357" s="1003"/>
      <c r="N357" s="1003"/>
    </row>
    <row r="358" spans="1:14" ht="12.75">
      <c r="A358" s="1003"/>
      <c r="B358" s="1003"/>
      <c r="C358" s="1003"/>
      <c r="D358" s="1003"/>
      <c r="E358" s="1003"/>
      <c r="F358" s="1003"/>
      <c r="G358" s="1003"/>
      <c r="H358" s="1003"/>
      <c r="I358" s="1003"/>
      <c r="J358" s="1003"/>
      <c r="K358" s="1003"/>
      <c r="L358" s="1003"/>
      <c r="M358" s="1003"/>
      <c r="N358" s="1003"/>
    </row>
    <row r="359" spans="1:14" ht="12.75">
      <c r="A359" s="1003"/>
      <c r="B359" s="1003"/>
      <c r="C359" s="1003"/>
      <c r="D359" s="1003"/>
      <c r="E359" s="1003"/>
      <c r="F359" s="1003"/>
      <c r="G359" s="1003"/>
      <c r="H359" s="1003"/>
      <c r="I359" s="1003"/>
      <c r="J359" s="1003"/>
      <c r="K359" s="1003"/>
      <c r="L359" s="1003"/>
      <c r="M359" s="1003"/>
      <c r="N359" s="1003"/>
    </row>
    <row r="360" spans="1:14" ht="12.75">
      <c r="A360" s="1003"/>
      <c r="B360" s="1003"/>
      <c r="C360" s="1003"/>
      <c r="D360" s="1003"/>
      <c r="E360" s="1003"/>
      <c r="F360" s="1003"/>
      <c r="G360" s="1003"/>
      <c r="H360" s="1003"/>
      <c r="I360" s="1003"/>
      <c r="J360" s="1003"/>
      <c r="K360" s="1003"/>
      <c r="L360" s="1003"/>
      <c r="M360" s="1003"/>
      <c r="N360" s="1003"/>
    </row>
    <row r="361" spans="1:14" ht="12.75">
      <c r="A361" s="1003"/>
      <c r="B361" s="1003"/>
      <c r="C361" s="1003"/>
      <c r="D361" s="1003"/>
      <c r="E361" s="1003"/>
      <c r="F361" s="1003"/>
      <c r="G361" s="1003"/>
      <c r="H361" s="1003"/>
      <c r="I361" s="1003"/>
      <c r="J361" s="1003"/>
      <c r="K361" s="1003"/>
      <c r="L361" s="1003"/>
      <c r="M361" s="1003"/>
      <c r="N361" s="1003"/>
    </row>
    <row r="362" spans="1:14" ht="12.75">
      <c r="A362" s="1003"/>
      <c r="B362" s="1003"/>
      <c r="C362" s="1003"/>
      <c r="D362" s="1003"/>
      <c r="E362" s="1003"/>
      <c r="F362" s="1003"/>
      <c r="G362" s="1003"/>
      <c r="H362" s="1003"/>
      <c r="I362" s="1003"/>
      <c r="J362" s="1003"/>
      <c r="K362" s="1003"/>
      <c r="L362" s="1003"/>
      <c r="M362" s="1003"/>
      <c r="N362" s="1003"/>
    </row>
    <row r="363" spans="1:14" ht="12.75">
      <c r="A363" s="1003"/>
      <c r="B363" s="1003"/>
      <c r="C363" s="1003"/>
      <c r="D363" s="1003"/>
      <c r="E363" s="1003"/>
      <c r="F363" s="1003"/>
      <c r="G363" s="1003"/>
      <c r="H363" s="1003"/>
      <c r="I363" s="1003"/>
      <c r="J363" s="1003"/>
      <c r="K363" s="1003"/>
      <c r="L363" s="1003"/>
      <c r="M363" s="1003"/>
      <c r="N363" s="1003"/>
    </row>
    <row r="364" spans="1:14" ht="12.75">
      <c r="A364" s="1003"/>
      <c r="B364" s="1003"/>
      <c r="C364" s="1003"/>
      <c r="D364" s="1003"/>
      <c r="E364" s="1003"/>
      <c r="F364" s="1003"/>
      <c r="G364" s="1003"/>
      <c r="H364" s="1003"/>
      <c r="I364" s="1003"/>
      <c r="J364" s="1003"/>
      <c r="K364" s="1003"/>
      <c r="L364" s="1003"/>
      <c r="M364" s="1003"/>
      <c r="N364" s="1003"/>
    </row>
    <row r="365" spans="1:14" ht="12.75">
      <c r="A365" s="1003"/>
      <c r="B365" s="1003"/>
      <c r="C365" s="1003"/>
      <c r="D365" s="1003"/>
      <c r="E365" s="1003"/>
      <c r="F365" s="1003"/>
      <c r="G365" s="1003"/>
      <c r="H365" s="1003"/>
      <c r="I365" s="1003"/>
      <c r="J365" s="1003"/>
      <c r="K365" s="1003"/>
      <c r="L365" s="1003"/>
      <c r="M365" s="1003"/>
      <c r="N365" s="1003"/>
    </row>
    <row r="366" spans="1:14" ht="12.75">
      <c r="A366" s="1003"/>
      <c r="B366" s="1003"/>
      <c r="C366" s="1003"/>
      <c r="D366" s="1003"/>
      <c r="E366" s="1003"/>
      <c r="F366" s="1003"/>
      <c r="G366" s="1003"/>
      <c r="H366" s="1003"/>
      <c r="I366" s="1003"/>
      <c r="J366" s="1003"/>
      <c r="K366" s="1003"/>
      <c r="L366" s="1003"/>
      <c r="M366" s="1003"/>
      <c r="N366" s="1003"/>
    </row>
    <row r="367" spans="1:14" ht="12.75">
      <c r="A367" s="1003"/>
      <c r="B367" s="1003"/>
      <c r="C367" s="1003"/>
      <c r="D367" s="1003"/>
      <c r="E367" s="1003"/>
      <c r="F367" s="1003"/>
      <c r="G367" s="1003"/>
      <c r="H367" s="1003"/>
      <c r="I367" s="1003"/>
      <c r="J367" s="1003"/>
      <c r="K367" s="1003"/>
      <c r="L367" s="1003"/>
      <c r="M367" s="1003"/>
      <c r="N367" s="1003"/>
    </row>
    <row r="368" spans="1:14" ht="12.75">
      <c r="A368" s="1003"/>
      <c r="B368" s="1003"/>
      <c r="C368" s="1003"/>
      <c r="D368" s="1003"/>
      <c r="E368" s="1003"/>
      <c r="F368" s="1003"/>
      <c r="G368" s="1003"/>
      <c r="H368" s="1003"/>
      <c r="I368" s="1003"/>
      <c r="J368" s="1003"/>
      <c r="K368" s="1003"/>
      <c r="L368" s="1003"/>
      <c r="M368" s="1003"/>
      <c r="N368" s="1003"/>
    </row>
    <row r="369" spans="1:14" ht="12.75">
      <c r="A369" s="1003"/>
      <c r="B369" s="1003"/>
      <c r="C369" s="1003"/>
      <c r="D369" s="1003"/>
      <c r="E369" s="1003"/>
      <c r="F369" s="1003"/>
      <c r="G369" s="1003"/>
      <c r="H369" s="1003"/>
      <c r="I369" s="1003"/>
      <c r="J369" s="1003"/>
      <c r="K369" s="1003"/>
      <c r="L369" s="1003"/>
      <c r="M369" s="1003"/>
      <c r="N369" s="1003"/>
    </row>
    <row r="370" spans="1:14" ht="12.75">
      <c r="A370" s="1003"/>
      <c r="B370" s="1003"/>
      <c r="C370" s="1003"/>
      <c r="D370" s="1003"/>
      <c r="E370" s="1003"/>
      <c r="F370" s="1003"/>
      <c r="G370" s="1003"/>
      <c r="H370" s="1003"/>
      <c r="I370" s="1003"/>
      <c r="J370" s="1003"/>
      <c r="K370" s="1003"/>
      <c r="L370" s="1003"/>
      <c r="M370" s="1003"/>
      <c r="N370" s="1003"/>
    </row>
    <row r="371" spans="1:14" ht="12.75">
      <c r="A371" s="1003"/>
      <c r="B371" s="1003"/>
      <c r="C371" s="1003"/>
      <c r="D371" s="1003"/>
      <c r="E371" s="1003"/>
      <c r="F371" s="1003"/>
      <c r="G371" s="1003"/>
      <c r="H371" s="1003"/>
      <c r="I371" s="1003"/>
      <c r="J371" s="1003"/>
      <c r="K371" s="1003"/>
      <c r="L371" s="1003"/>
      <c r="M371" s="1003"/>
      <c r="N371" s="1003"/>
    </row>
    <row r="372" spans="1:14" ht="12.75">
      <c r="A372" s="1003"/>
      <c r="B372" s="1003"/>
      <c r="C372" s="1003"/>
      <c r="D372" s="1003"/>
      <c r="E372" s="1003"/>
      <c r="F372" s="1003"/>
      <c r="G372" s="1003"/>
      <c r="H372" s="1003"/>
      <c r="I372" s="1003"/>
      <c r="J372" s="1003"/>
      <c r="K372" s="1003"/>
      <c r="L372" s="1003"/>
      <c r="M372" s="1003"/>
      <c r="N372" s="1003"/>
    </row>
    <row r="373" spans="1:14" ht="12.75">
      <c r="A373" s="1003"/>
      <c r="B373" s="1003"/>
      <c r="C373" s="1003"/>
      <c r="D373" s="1003"/>
      <c r="E373" s="1003"/>
      <c r="F373" s="1003"/>
      <c r="G373" s="1003"/>
      <c r="H373" s="1003"/>
      <c r="I373" s="1003"/>
      <c r="J373" s="1003"/>
      <c r="K373" s="1003"/>
      <c r="L373" s="1003"/>
      <c r="M373" s="1003"/>
      <c r="N373" s="1003"/>
    </row>
    <row r="374" spans="1:14" ht="12.75">
      <c r="A374" s="1003"/>
      <c r="B374" s="1003"/>
      <c r="C374" s="1003"/>
      <c r="D374" s="1003"/>
      <c r="E374" s="1003"/>
      <c r="F374" s="1003"/>
      <c r="G374" s="1003"/>
      <c r="H374" s="1003"/>
      <c r="I374" s="1003"/>
      <c r="J374" s="1003"/>
      <c r="K374" s="1003"/>
      <c r="L374" s="1003"/>
      <c r="M374" s="1003"/>
      <c r="N374" s="1003"/>
    </row>
    <row r="375" spans="1:14" ht="12.75">
      <c r="A375" s="1003"/>
      <c r="B375" s="1003"/>
      <c r="C375" s="1003"/>
      <c r="D375" s="1003"/>
      <c r="E375" s="1003"/>
      <c r="F375" s="1003"/>
      <c r="G375" s="1003"/>
      <c r="H375" s="1003"/>
      <c r="I375" s="1003"/>
      <c r="J375" s="1003"/>
      <c r="K375" s="1003"/>
      <c r="L375" s="1003"/>
      <c r="M375" s="1003"/>
      <c r="N375" s="1003"/>
    </row>
    <row r="376" spans="1:14" ht="12.75">
      <c r="A376" s="1003"/>
      <c r="B376" s="1003"/>
      <c r="C376" s="1003"/>
      <c r="D376" s="1003"/>
      <c r="E376" s="1003"/>
      <c r="F376" s="1003"/>
      <c r="G376" s="1003"/>
      <c r="H376" s="1003"/>
      <c r="I376" s="1003"/>
      <c r="J376" s="1003"/>
      <c r="K376" s="1003"/>
      <c r="L376" s="1003"/>
      <c r="M376" s="1003"/>
      <c r="N376" s="1003"/>
    </row>
    <row r="377" spans="1:14" ht="12.75">
      <c r="A377" s="1003"/>
      <c r="B377" s="1003"/>
      <c r="C377" s="1003"/>
      <c r="D377" s="1003"/>
      <c r="E377" s="1003"/>
      <c r="F377" s="1003"/>
      <c r="G377" s="1003"/>
      <c r="H377" s="1003"/>
      <c r="I377" s="1003"/>
      <c r="J377" s="1003"/>
      <c r="K377" s="1003"/>
      <c r="L377" s="1003"/>
      <c r="M377" s="1003"/>
      <c r="N377" s="1003"/>
    </row>
    <row r="378" spans="1:14" ht="12.75">
      <c r="A378" s="1003"/>
      <c r="B378" s="1003"/>
      <c r="C378" s="1003"/>
      <c r="D378" s="1003"/>
      <c r="E378" s="1003"/>
      <c r="F378" s="1003"/>
      <c r="G378" s="1003"/>
      <c r="H378" s="1003"/>
      <c r="I378" s="1003"/>
      <c r="J378" s="1003"/>
      <c r="K378" s="1003"/>
      <c r="L378" s="1003"/>
      <c r="M378" s="1003"/>
      <c r="N378" s="1003"/>
    </row>
    <row r="379" spans="1:14" ht="12.75">
      <c r="A379" s="1003"/>
      <c r="B379" s="1003"/>
      <c r="C379" s="1003"/>
      <c r="D379" s="1003"/>
      <c r="E379" s="1003"/>
      <c r="F379" s="1003"/>
      <c r="G379" s="1003"/>
      <c r="H379" s="1003"/>
      <c r="I379" s="1003"/>
      <c r="J379" s="1003"/>
      <c r="K379" s="1003"/>
      <c r="L379" s="1003"/>
      <c r="M379" s="1003"/>
      <c r="N379" s="1003"/>
    </row>
    <row r="380" spans="1:14" ht="12.75">
      <c r="A380" s="1003"/>
      <c r="B380" s="1003"/>
      <c r="C380" s="1003"/>
      <c r="D380" s="1003"/>
      <c r="E380" s="1003"/>
      <c r="F380" s="1003"/>
      <c r="G380" s="1003"/>
      <c r="H380" s="1003"/>
      <c r="I380" s="1003"/>
      <c r="J380" s="1003"/>
      <c r="K380" s="1003"/>
      <c r="L380" s="1003"/>
      <c r="M380" s="1003"/>
      <c r="N380" s="1003"/>
    </row>
    <row r="381" spans="1:14" ht="12.75">
      <c r="A381" s="1003"/>
      <c r="B381" s="1003"/>
      <c r="C381" s="1003"/>
      <c r="D381" s="1003"/>
      <c r="E381" s="1003"/>
      <c r="F381" s="1003"/>
      <c r="G381" s="1003"/>
      <c r="H381" s="1003"/>
      <c r="I381" s="1003"/>
      <c r="J381" s="1003"/>
      <c r="K381" s="1003"/>
      <c r="L381" s="1003"/>
      <c r="M381" s="1003"/>
      <c r="N381" s="1003"/>
    </row>
    <row r="382" spans="1:14" ht="12.75">
      <c r="A382" s="1003"/>
      <c r="B382" s="1003"/>
      <c r="C382" s="1003"/>
      <c r="D382" s="1003"/>
      <c r="E382" s="1003"/>
      <c r="F382" s="1003"/>
      <c r="G382" s="1003"/>
      <c r="H382" s="1003"/>
      <c r="I382" s="1003"/>
      <c r="J382" s="1003"/>
      <c r="K382" s="1003"/>
      <c r="L382" s="1003"/>
      <c r="M382" s="1003"/>
      <c r="N382" s="1003"/>
    </row>
    <row r="383" spans="1:14" ht="12.75">
      <c r="A383" s="1003"/>
      <c r="B383" s="1003"/>
      <c r="C383" s="1003"/>
      <c r="D383" s="1003"/>
      <c r="E383" s="1003"/>
      <c r="F383" s="1003"/>
      <c r="G383" s="1003"/>
      <c r="H383" s="1003"/>
      <c r="I383" s="1003"/>
      <c r="J383" s="1003"/>
      <c r="K383" s="1003"/>
      <c r="L383" s="1003"/>
      <c r="M383" s="1003"/>
      <c r="N383" s="1003"/>
    </row>
    <row r="384" spans="1:14" ht="12.75">
      <c r="A384" s="1003"/>
      <c r="B384" s="1003"/>
      <c r="C384" s="1003"/>
      <c r="D384" s="1003"/>
      <c r="E384" s="1003"/>
      <c r="F384" s="1003"/>
      <c r="G384" s="1003"/>
      <c r="H384" s="1003"/>
      <c r="I384" s="1003"/>
      <c r="J384" s="1003"/>
      <c r="K384" s="1003"/>
      <c r="L384" s="1003"/>
      <c r="M384" s="1003"/>
      <c r="N384" s="1003"/>
    </row>
    <row r="385" spans="1:14" ht="12.75">
      <c r="A385" s="1003"/>
      <c r="B385" s="1003"/>
      <c r="C385" s="1003"/>
      <c r="D385" s="1003"/>
      <c r="E385" s="1003"/>
      <c r="F385" s="1003"/>
      <c r="G385" s="1003"/>
      <c r="H385" s="1003"/>
      <c r="I385" s="1003"/>
      <c r="J385" s="1003"/>
      <c r="K385" s="1003"/>
      <c r="L385" s="1003"/>
      <c r="M385" s="1003"/>
      <c r="N385" s="1003"/>
    </row>
    <row r="386" spans="1:14" ht="12.75">
      <c r="A386" s="1003"/>
      <c r="B386" s="1003"/>
      <c r="C386" s="1003"/>
      <c r="D386" s="1003"/>
      <c r="E386" s="1003"/>
      <c r="F386" s="1003"/>
      <c r="G386" s="1003"/>
      <c r="H386" s="1003"/>
      <c r="I386" s="1003"/>
      <c r="J386" s="1003"/>
      <c r="K386" s="1003"/>
      <c r="L386" s="1003"/>
      <c r="M386" s="1003"/>
      <c r="N386" s="1003"/>
    </row>
    <row r="387" spans="1:14" ht="12.75">
      <c r="A387" s="1003"/>
      <c r="B387" s="1003"/>
      <c r="C387" s="1003"/>
      <c r="D387" s="1003"/>
      <c r="E387" s="1003"/>
      <c r="F387" s="1003"/>
      <c r="G387" s="1003"/>
      <c r="H387" s="1003"/>
      <c r="I387" s="1003"/>
      <c r="J387" s="1003"/>
      <c r="K387" s="1003"/>
      <c r="L387" s="1003"/>
      <c r="M387" s="1003"/>
      <c r="N387" s="1003"/>
    </row>
    <row r="388" spans="1:14" ht="12.75">
      <c r="A388" s="1003"/>
      <c r="B388" s="1003"/>
      <c r="C388" s="1003"/>
      <c r="D388" s="1003"/>
      <c r="E388" s="1003"/>
      <c r="F388" s="1003"/>
      <c r="G388" s="1003"/>
      <c r="H388" s="1003"/>
      <c r="I388" s="1003"/>
      <c r="J388" s="1003"/>
      <c r="K388" s="1003"/>
      <c r="L388" s="1003"/>
      <c r="M388" s="1003"/>
      <c r="N388" s="1003"/>
    </row>
    <row r="389" spans="1:14" ht="12.75">
      <c r="A389" s="1003"/>
      <c r="B389" s="1003"/>
      <c r="C389" s="1003"/>
      <c r="D389" s="1003"/>
      <c r="E389" s="1003"/>
      <c r="F389" s="1003"/>
      <c r="G389" s="1003"/>
      <c r="H389" s="1003"/>
      <c r="I389" s="1003"/>
      <c r="J389" s="1003"/>
      <c r="K389" s="1003"/>
      <c r="L389" s="1003"/>
      <c r="M389" s="1003"/>
      <c r="N389" s="1003"/>
    </row>
    <row r="390" spans="1:14" ht="12.75">
      <c r="A390" s="1003"/>
      <c r="B390" s="1003"/>
      <c r="C390" s="1003"/>
      <c r="D390" s="1003"/>
      <c r="E390" s="1003"/>
      <c r="F390" s="1003"/>
      <c r="G390" s="1003"/>
      <c r="H390" s="1003"/>
      <c r="I390" s="1003"/>
      <c r="J390" s="1003"/>
      <c r="K390" s="1003"/>
      <c r="L390" s="1003"/>
      <c r="M390" s="1003"/>
      <c r="N390" s="1003"/>
    </row>
  </sheetData>
  <sheetProtection/>
  <mergeCells count="9">
    <mergeCell ref="A6:N6"/>
    <mergeCell ref="B8:E8"/>
    <mergeCell ref="A8:A9"/>
    <mergeCell ref="H8:H9"/>
    <mergeCell ref="J8:K8"/>
    <mergeCell ref="A1:N1"/>
    <mergeCell ref="A2:N2"/>
    <mergeCell ref="A3:N3"/>
    <mergeCell ref="A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09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6.375" style="0" customWidth="1"/>
    <col min="2" max="2" width="0" style="0" hidden="1" customWidth="1"/>
    <col min="4" max="4" width="30.125" style="0" customWidth="1"/>
    <col min="6" max="6" width="5.25390625" style="0" customWidth="1"/>
    <col min="7" max="7" width="13.375" style="0" customWidth="1"/>
    <col min="8" max="9" width="0" style="0" hidden="1" customWidth="1"/>
    <col min="10" max="10" width="1.37890625" style="0" hidden="1" customWidth="1"/>
    <col min="11" max="11" width="11.125" style="0" customWidth="1"/>
    <col min="12" max="12" width="7.875" style="0" customWidth="1"/>
    <col min="13" max="13" width="12.87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1006"/>
      <c r="B2" s="5"/>
      <c r="C2" s="5"/>
      <c r="D2" s="5"/>
      <c r="E2" s="5"/>
      <c r="F2" s="5"/>
      <c r="G2" s="5"/>
      <c r="H2" s="5"/>
      <c r="I2" s="5"/>
      <c r="J2" s="5"/>
      <c r="K2" s="1159" t="s">
        <v>970</v>
      </c>
      <c r="L2" s="1159"/>
      <c r="M2" s="5"/>
    </row>
    <row r="3" spans="1:13" ht="12.75">
      <c r="A3" s="5"/>
      <c r="B3" s="5"/>
      <c r="C3" s="5"/>
      <c r="D3" s="1160" t="s">
        <v>971</v>
      </c>
      <c r="E3" s="1160"/>
      <c r="F3" s="1160"/>
      <c r="G3" s="1160"/>
      <c r="H3" s="1160"/>
      <c r="I3" s="1160"/>
      <c r="J3" s="1160"/>
      <c r="K3" s="1160"/>
      <c r="L3" s="1160"/>
      <c r="M3" s="1007"/>
    </row>
    <row r="4" spans="1:13" ht="12.75">
      <c r="A4" s="5"/>
      <c r="B4" s="5"/>
      <c r="C4" s="5"/>
      <c r="D4" s="1161" t="s">
        <v>972</v>
      </c>
      <c r="E4" s="1161"/>
      <c r="F4" s="1161"/>
      <c r="G4" s="1161"/>
      <c r="H4" s="1161"/>
      <c r="I4" s="1161"/>
      <c r="J4" s="1161"/>
      <c r="K4" s="1161"/>
      <c r="L4" s="1161"/>
      <c r="M4" s="1009"/>
    </row>
    <row r="5" spans="1:13" ht="12.75">
      <c r="A5" s="5"/>
      <c r="B5" s="1010"/>
      <c r="C5" s="5"/>
      <c r="D5" s="1161" t="str">
        <f>'1000'!O5</f>
        <v>№5 от 5.03.2012г.</v>
      </c>
      <c r="E5" s="1161"/>
      <c r="F5" s="1161"/>
      <c r="G5" s="1161"/>
      <c r="H5" s="1161"/>
      <c r="I5" s="1161"/>
      <c r="J5" s="1161"/>
      <c r="K5" s="1161"/>
      <c r="L5" s="1161"/>
      <c r="M5" s="1011"/>
    </row>
    <row r="6" spans="1:13" ht="12.75">
      <c r="A6" s="5"/>
      <c r="B6" s="1010"/>
      <c r="C6" s="5"/>
      <c r="D6" s="1008"/>
      <c r="E6" s="1008"/>
      <c r="F6" s="1008"/>
      <c r="G6" s="1008"/>
      <c r="H6" s="1008"/>
      <c r="I6" s="1008"/>
      <c r="J6" s="1008"/>
      <c r="K6" s="1008"/>
      <c r="L6" s="1008"/>
      <c r="M6" s="1011"/>
    </row>
    <row r="7" spans="1:13" ht="12.75">
      <c r="A7" s="1162" t="s">
        <v>973</v>
      </c>
      <c r="B7" s="1163"/>
      <c r="C7" s="1163"/>
      <c r="D7" s="1163"/>
      <c r="E7" s="1163"/>
      <c r="F7" s="1163"/>
      <c r="G7" s="1163"/>
      <c r="H7" s="1163"/>
      <c r="I7" s="1163"/>
      <c r="J7" s="1163"/>
      <c r="K7" s="1163"/>
      <c r="L7" s="1163"/>
      <c r="M7" s="1163"/>
    </row>
    <row r="8" spans="1:13" ht="12.75">
      <c r="A8" s="5"/>
      <c r="B8" s="5"/>
      <c r="C8" s="5"/>
      <c r="D8" s="5"/>
      <c r="E8" s="1148" t="s">
        <v>974</v>
      </c>
      <c r="F8" s="1148"/>
      <c r="G8" s="1148"/>
      <c r="H8" s="1148"/>
      <c r="I8" s="1148"/>
      <c r="J8" s="1148"/>
      <c r="K8" s="5"/>
      <c r="L8" s="5"/>
      <c r="M8" s="5"/>
    </row>
    <row r="9" spans="1:13" ht="25.5">
      <c r="A9" s="301" t="s">
        <v>242</v>
      </c>
      <c r="B9" s="301" t="s">
        <v>975</v>
      </c>
      <c r="C9" s="1164" t="s">
        <v>976</v>
      </c>
      <c r="D9" s="1164"/>
      <c r="E9" s="1012" t="s">
        <v>977</v>
      </c>
      <c r="F9" s="1165" t="s">
        <v>978</v>
      </c>
      <c r="G9" s="1166"/>
      <c r="H9" s="1169" t="s">
        <v>979</v>
      </c>
      <c r="I9" s="1169"/>
      <c r="J9" s="1169"/>
      <c r="K9" s="1169"/>
      <c r="L9" s="1165" t="s">
        <v>980</v>
      </c>
      <c r="M9" s="1166"/>
    </row>
    <row r="10" spans="1:13" ht="12.75">
      <c r="A10" s="1013" t="s">
        <v>243</v>
      </c>
      <c r="B10" s="1013" t="s">
        <v>981</v>
      </c>
      <c r="C10" s="1170" t="s">
        <v>982</v>
      </c>
      <c r="D10" s="1170"/>
      <c r="E10" s="1012"/>
      <c r="F10" s="1167"/>
      <c r="G10" s="1168"/>
      <c r="H10" s="1169" t="s">
        <v>983</v>
      </c>
      <c r="I10" s="1169"/>
      <c r="J10" s="1169"/>
      <c r="K10" s="1169"/>
      <c r="L10" s="1167"/>
      <c r="M10" s="1168"/>
    </row>
    <row r="11" spans="1:13" ht="76.5">
      <c r="A11" s="1014"/>
      <c r="B11" s="1014"/>
      <c r="C11" s="1171"/>
      <c r="D11" s="1171"/>
      <c r="E11" s="1012"/>
      <c r="F11" s="1012" t="s">
        <v>984</v>
      </c>
      <c r="G11" s="1012" t="s">
        <v>985</v>
      </c>
      <c r="H11" s="1012" t="s">
        <v>984</v>
      </c>
      <c r="I11" s="1012" t="s">
        <v>986</v>
      </c>
      <c r="J11" s="1012" t="s">
        <v>984</v>
      </c>
      <c r="K11" s="1012" t="s">
        <v>986</v>
      </c>
      <c r="L11" s="1012" t="s">
        <v>984</v>
      </c>
      <c r="M11" s="1012" t="s">
        <v>986</v>
      </c>
    </row>
    <row r="12" spans="1:13" ht="12.75">
      <c r="A12" s="1015" t="s">
        <v>987</v>
      </c>
      <c r="B12" s="1015" t="s">
        <v>988</v>
      </c>
      <c r="C12" s="1172" t="s">
        <v>989</v>
      </c>
      <c r="D12" s="1172"/>
      <c r="E12" s="1015" t="s">
        <v>990</v>
      </c>
      <c r="F12" s="1015" t="s">
        <v>991</v>
      </c>
      <c r="G12" s="1015" t="s">
        <v>992</v>
      </c>
      <c r="H12" s="1015" t="s">
        <v>993</v>
      </c>
      <c r="I12" s="1015" t="s">
        <v>994</v>
      </c>
      <c r="J12" s="1015" t="s">
        <v>995</v>
      </c>
      <c r="K12" s="1015" t="s">
        <v>859</v>
      </c>
      <c r="L12" s="1015" t="s">
        <v>912</v>
      </c>
      <c r="M12" s="1015" t="s">
        <v>826</v>
      </c>
    </row>
    <row r="13" spans="1:13" ht="12.75">
      <c r="A13" s="1173"/>
      <c r="B13" s="1173"/>
      <c r="C13" s="1173"/>
      <c r="D13" s="1173"/>
      <c r="E13" s="1016"/>
      <c r="F13" s="1016"/>
      <c r="G13" s="1016"/>
      <c r="H13" s="1016"/>
      <c r="I13" s="1016"/>
      <c r="J13" s="1017"/>
      <c r="K13" s="1018"/>
      <c r="L13" s="1017"/>
      <c r="M13" s="1018"/>
    </row>
    <row r="14" spans="1:13" ht="12.75">
      <c r="A14" s="1019">
        <v>1</v>
      </c>
      <c r="B14" s="1020" t="s">
        <v>996</v>
      </c>
      <c r="C14" s="1174" t="s">
        <v>997</v>
      </c>
      <c r="D14" s="1174"/>
      <c r="E14" s="1022" t="s">
        <v>998</v>
      </c>
      <c r="F14" s="1023">
        <v>1</v>
      </c>
      <c r="G14" s="1024">
        <v>140220.8</v>
      </c>
      <c r="H14" s="1025" t="s">
        <v>974</v>
      </c>
      <c r="I14" s="1025" t="s">
        <v>999</v>
      </c>
      <c r="J14" s="1025" t="s">
        <v>974</v>
      </c>
      <c r="K14" s="1025">
        <v>17312.95</v>
      </c>
      <c r="L14" s="1023">
        <v>1</v>
      </c>
      <c r="M14" s="1024">
        <f>G14-K14</f>
        <v>122907.84999999999</v>
      </c>
    </row>
    <row r="15" spans="1:13" ht="12.75">
      <c r="A15" s="1019">
        <v>2</v>
      </c>
      <c r="B15" s="1020" t="s">
        <v>1000</v>
      </c>
      <c r="C15" s="1174" t="s">
        <v>1001</v>
      </c>
      <c r="D15" s="1174"/>
      <c r="E15" s="1022" t="s">
        <v>998</v>
      </c>
      <c r="F15" s="1023">
        <v>1</v>
      </c>
      <c r="G15" s="1024">
        <v>656955.85</v>
      </c>
      <c r="H15" s="1025" t="s">
        <v>974</v>
      </c>
      <c r="I15" s="1025" t="s">
        <v>999</v>
      </c>
      <c r="J15" s="1025" t="s">
        <v>974</v>
      </c>
      <c r="K15" s="1025">
        <v>173740.94</v>
      </c>
      <c r="L15" s="1023">
        <v>1</v>
      </c>
      <c r="M15" s="1024">
        <f aca="true" t="shared" si="0" ref="M15:M64">G15-K15</f>
        <v>483214.91</v>
      </c>
    </row>
    <row r="16" spans="1:13" ht="12.75">
      <c r="A16" s="1019">
        <v>3</v>
      </c>
      <c r="B16" s="1020" t="s">
        <v>1002</v>
      </c>
      <c r="C16" s="1174" t="s">
        <v>1003</v>
      </c>
      <c r="D16" s="1174"/>
      <c r="E16" s="1022" t="s">
        <v>998</v>
      </c>
      <c r="F16" s="1023">
        <v>1</v>
      </c>
      <c r="G16" s="1024">
        <v>703487.8</v>
      </c>
      <c r="H16" s="1025" t="s">
        <v>974</v>
      </c>
      <c r="I16" s="1025" t="s">
        <v>999</v>
      </c>
      <c r="J16" s="1025" t="s">
        <v>974</v>
      </c>
      <c r="K16" s="1025">
        <v>137060.27</v>
      </c>
      <c r="L16" s="1023">
        <v>1</v>
      </c>
      <c r="M16" s="1024">
        <f t="shared" si="0"/>
        <v>566427.53</v>
      </c>
    </row>
    <row r="17" spans="1:13" ht="12.75">
      <c r="A17" s="1019">
        <v>4</v>
      </c>
      <c r="B17" s="1020" t="s">
        <v>1004</v>
      </c>
      <c r="C17" s="1174" t="s">
        <v>1005</v>
      </c>
      <c r="D17" s="1174"/>
      <c r="E17" s="1022" t="s">
        <v>998</v>
      </c>
      <c r="F17" s="1023">
        <v>1</v>
      </c>
      <c r="G17" s="1024">
        <v>703487.8</v>
      </c>
      <c r="H17" s="1025" t="s">
        <v>974</v>
      </c>
      <c r="I17" s="1025" t="s">
        <v>999</v>
      </c>
      <c r="J17" s="1025" t="s">
        <v>974</v>
      </c>
      <c r="K17" s="1025">
        <v>137060.27</v>
      </c>
      <c r="L17" s="1023">
        <v>1</v>
      </c>
      <c r="M17" s="1024">
        <f t="shared" si="0"/>
        <v>566427.53</v>
      </c>
    </row>
    <row r="18" spans="1:13" ht="12.75">
      <c r="A18" s="1019">
        <v>5</v>
      </c>
      <c r="B18" s="1020" t="s">
        <v>1006</v>
      </c>
      <c r="C18" s="1174" t="s">
        <v>1007</v>
      </c>
      <c r="D18" s="1174"/>
      <c r="E18" s="1022" t="s">
        <v>998</v>
      </c>
      <c r="F18" s="1023">
        <v>1</v>
      </c>
      <c r="G18" s="1024">
        <v>703487.8</v>
      </c>
      <c r="H18" s="1025" t="s">
        <v>974</v>
      </c>
      <c r="I18" s="1025" t="s">
        <v>999</v>
      </c>
      <c r="J18" s="1025" t="s">
        <v>974</v>
      </c>
      <c r="K18" s="1025">
        <v>137056.82</v>
      </c>
      <c r="L18" s="1023">
        <v>1</v>
      </c>
      <c r="M18" s="1024">
        <f t="shared" si="0"/>
        <v>566430.98</v>
      </c>
    </row>
    <row r="19" spans="1:13" ht="12.75">
      <c r="A19" s="1019">
        <v>6</v>
      </c>
      <c r="B19" s="1020" t="s">
        <v>1008</v>
      </c>
      <c r="C19" s="1174" t="s">
        <v>1009</v>
      </c>
      <c r="D19" s="1174"/>
      <c r="E19" s="1022" t="s">
        <v>998</v>
      </c>
      <c r="F19" s="1023">
        <v>1</v>
      </c>
      <c r="G19" s="1024">
        <v>703487.8</v>
      </c>
      <c r="H19" s="1025" t="s">
        <v>974</v>
      </c>
      <c r="I19" s="1025" t="s">
        <v>999</v>
      </c>
      <c r="J19" s="1025" t="s">
        <v>974</v>
      </c>
      <c r="K19" s="1025">
        <v>137060.27</v>
      </c>
      <c r="L19" s="1023">
        <v>1</v>
      </c>
      <c r="M19" s="1024">
        <f t="shared" si="0"/>
        <v>566427.53</v>
      </c>
    </row>
    <row r="20" spans="1:13" ht="12.75">
      <c r="A20" s="1019">
        <v>7</v>
      </c>
      <c r="B20" s="1020" t="s">
        <v>1010</v>
      </c>
      <c r="C20" s="1174" t="s">
        <v>1011</v>
      </c>
      <c r="D20" s="1174"/>
      <c r="E20" s="1022" t="s">
        <v>998</v>
      </c>
      <c r="F20" s="1023">
        <v>1</v>
      </c>
      <c r="G20" s="1024">
        <v>703487.8</v>
      </c>
      <c r="H20" s="1025" t="s">
        <v>974</v>
      </c>
      <c r="I20" s="1025" t="s">
        <v>999</v>
      </c>
      <c r="J20" s="1025" t="s">
        <v>974</v>
      </c>
      <c r="K20" s="1025">
        <v>137066.81</v>
      </c>
      <c r="L20" s="1023">
        <v>1</v>
      </c>
      <c r="M20" s="1024">
        <f t="shared" si="0"/>
        <v>566420.99</v>
      </c>
    </row>
    <row r="21" spans="1:13" ht="12.75">
      <c r="A21" s="1019">
        <v>8</v>
      </c>
      <c r="B21" s="1020" t="s">
        <v>1012</v>
      </c>
      <c r="C21" s="1174" t="s">
        <v>1013</v>
      </c>
      <c r="D21" s="1174"/>
      <c r="E21" s="1022" t="s">
        <v>998</v>
      </c>
      <c r="F21" s="1023">
        <v>1</v>
      </c>
      <c r="G21" s="1024">
        <v>605872.35</v>
      </c>
      <c r="H21" s="1025" t="s">
        <v>974</v>
      </c>
      <c r="I21" s="1025" t="s">
        <v>999</v>
      </c>
      <c r="J21" s="1025" t="s">
        <v>974</v>
      </c>
      <c r="K21" s="1025">
        <v>148677.47</v>
      </c>
      <c r="L21" s="1023">
        <v>1</v>
      </c>
      <c r="M21" s="1024">
        <f t="shared" si="0"/>
        <v>457194.88</v>
      </c>
    </row>
    <row r="22" spans="1:13" ht="12.75">
      <c r="A22" s="1019">
        <v>9</v>
      </c>
      <c r="B22" s="1020" t="s">
        <v>1014</v>
      </c>
      <c r="C22" s="1174" t="s">
        <v>1015</v>
      </c>
      <c r="D22" s="1174"/>
      <c r="E22" s="1022" t="s">
        <v>998</v>
      </c>
      <c r="F22" s="1023">
        <v>1</v>
      </c>
      <c r="G22" s="1024">
        <v>605872.35</v>
      </c>
      <c r="H22" s="1025" t="s">
        <v>974</v>
      </c>
      <c r="I22" s="1025" t="s">
        <v>999</v>
      </c>
      <c r="J22" s="1025" t="s">
        <v>974</v>
      </c>
      <c r="K22" s="1025">
        <v>148677.47</v>
      </c>
      <c r="L22" s="1023">
        <v>1</v>
      </c>
      <c r="M22" s="1024">
        <f t="shared" si="0"/>
        <v>457194.88</v>
      </c>
    </row>
    <row r="23" spans="1:13" ht="12.75">
      <c r="A23" s="1019">
        <v>10</v>
      </c>
      <c r="B23" s="1020" t="s">
        <v>1016</v>
      </c>
      <c r="C23" s="1174" t="s">
        <v>1017</v>
      </c>
      <c r="D23" s="1174"/>
      <c r="E23" s="1022" t="s">
        <v>998</v>
      </c>
      <c r="F23" s="1023">
        <v>1</v>
      </c>
      <c r="G23" s="1024">
        <v>880383.45</v>
      </c>
      <c r="H23" s="1025" t="s">
        <v>974</v>
      </c>
      <c r="I23" s="1025" t="s">
        <v>999</v>
      </c>
      <c r="J23" s="1025" t="s">
        <v>974</v>
      </c>
      <c r="K23" s="1025">
        <v>180420.67</v>
      </c>
      <c r="L23" s="1023">
        <v>1</v>
      </c>
      <c r="M23" s="1024">
        <f t="shared" si="0"/>
        <v>699962.7799999999</v>
      </c>
    </row>
    <row r="24" spans="1:13" ht="12.75">
      <c r="A24" s="1019">
        <v>11</v>
      </c>
      <c r="B24" s="1020" t="s">
        <v>1018</v>
      </c>
      <c r="C24" s="1174" t="s">
        <v>1019</v>
      </c>
      <c r="D24" s="1174"/>
      <c r="E24" s="1022" t="s">
        <v>998</v>
      </c>
      <c r="F24" s="1023">
        <v>1</v>
      </c>
      <c r="G24" s="1024">
        <v>880383.45</v>
      </c>
      <c r="H24" s="1025" t="s">
        <v>974</v>
      </c>
      <c r="I24" s="1025" t="s">
        <v>999</v>
      </c>
      <c r="J24" s="1025" t="s">
        <v>974</v>
      </c>
      <c r="K24" s="1025">
        <v>180420.67</v>
      </c>
      <c r="L24" s="1023">
        <v>1</v>
      </c>
      <c r="M24" s="1024">
        <f t="shared" si="0"/>
        <v>699962.7799999999</v>
      </c>
    </row>
    <row r="25" spans="1:13" ht="12.75">
      <c r="A25" s="1019">
        <v>12</v>
      </c>
      <c r="B25" s="1020" t="s">
        <v>1020</v>
      </c>
      <c r="C25" s="1174" t="s">
        <v>1021</v>
      </c>
      <c r="D25" s="1174"/>
      <c r="E25" s="1022" t="s">
        <v>998</v>
      </c>
      <c r="F25" s="1023">
        <v>1</v>
      </c>
      <c r="G25" s="1024">
        <v>880383.45</v>
      </c>
      <c r="H25" s="1025" t="s">
        <v>974</v>
      </c>
      <c r="I25" s="1025" t="s">
        <v>999</v>
      </c>
      <c r="J25" s="1025" t="s">
        <v>974</v>
      </c>
      <c r="K25" s="1025">
        <v>180420.67</v>
      </c>
      <c r="L25" s="1023">
        <v>1</v>
      </c>
      <c r="M25" s="1024">
        <f t="shared" si="0"/>
        <v>699962.7799999999</v>
      </c>
    </row>
    <row r="26" spans="1:13" ht="12.75">
      <c r="A26" s="1019">
        <v>13</v>
      </c>
      <c r="B26" s="1020" t="s">
        <v>1022</v>
      </c>
      <c r="C26" s="1174" t="s">
        <v>1023</v>
      </c>
      <c r="D26" s="1174"/>
      <c r="E26" s="1022" t="s">
        <v>998</v>
      </c>
      <c r="F26" s="1023">
        <v>1</v>
      </c>
      <c r="G26" s="1024">
        <v>656955.85</v>
      </c>
      <c r="H26" s="1025" t="s">
        <v>974</v>
      </c>
      <c r="I26" s="1025" t="s">
        <v>999</v>
      </c>
      <c r="J26" s="1025" t="s">
        <v>974</v>
      </c>
      <c r="K26" s="1025">
        <v>174529.85</v>
      </c>
      <c r="L26" s="1023">
        <v>1</v>
      </c>
      <c r="M26" s="1024">
        <f t="shared" si="0"/>
        <v>482426</v>
      </c>
    </row>
    <row r="27" spans="1:13" ht="12.75">
      <c r="A27" s="1019">
        <v>14</v>
      </c>
      <c r="B27" s="1020" t="s">
        <v>1024</v>
      </c>
      <c r="C27" s="1174" t="s">
        <v>1025</v>
      </c>
      <c r="D27" s="1174"/>
      <c r="E27" s="1022" t="s">
        <v>998</v>
      </c>
      <c r="F27" s="1023">
        <v>1</v>
      </c>
      <c r="G27" s="1024">
        <v>605872.35</v>
      </c>
      <c r="H27" s="1025" t="s">
        <v>974</v>
      </c>
      <c r="I27" s="1025" t="s">
        <v>999</v>
      </c>
      <c r="J27" s="1025" t="s">
        <v>974</v>
      </c>
      <c r="K27" s="1025">
        <v>148684.02</v>
      </c>
      <c r="L27" s="1023">
        <v>1</v>
      </c>
      <c r="M27" s="1024">
        <f t="shared" si="0"/>
        <v>457188.32999999996</v>
      </c>
    </row>
    <row r="28" spans="1:13" ht="12.75">
      <c r="A28" s="1019">
        <v>15</v>
      </c>
      <c r="B28" s="1020" t="s">
        <v>1026</v>
      </c>
      <c r="C28" s="1174" t="s">
        <v>1027</v>
      </c>
      <c r="D28" s="1174"/>
      <c r="E28" s="1022" t="s">
        <v>998</v>
      </c>
      <c r="F28" s="1023">
        <v>1</v>
      </c>
      <c r="G28" s="1024">
        <v>1145544.95</v>
      </c>
      <c r="H28" s="1025" t="s">
        <v>974</v>
      </c>
      <c r="I28" s="1025" t="s">
        <v>999</v>
      </c>
      <c r="J28" s="1025" t="s">
        <v>974</v>
      </c>
      <c r="K28" s="1025">
        <v>257381.91</v>
      </c>
      <c r="L28" s="1023">
        <v>1</v>
      </c>
      <c r="M28" s="1024">
        <f t="shared" si="0"/>
        <v>888163.0399999999</v>
      </c>
    </row>
    <row r="29" spans="1:13" ht="12.75">
      <c r="A29" s="1019">
        <v>16</v>
      </c>
      <c r="B29" s="1020" t="s">
        <v>1028</v>
      </c>
      <c r="C29" s="1174" t="s">
        <v>1029</v>
      </c>
      <c r="D29" s="1174"/>
      <c r="E29" s="1022" t="s">
        <v>998</v>
      </c>
      <c r="F29" s="1023">
        <v>1</v>
      </c>
      <c r="G29" s="1024">
        <v>865538.35</v>
      </c>
      <c r="H29" s="1025" t="s">
        <v>974</v>
      </c>
      <c r="I29" s="1025" t="s">
        <v>999</v>
      </c>
      <c r="J29" s="1025" t="s">
        <v>974</v>
      </c>
      <c r="K29" s="1025">
        <v>212400.56</v>
      </c>
      <c r="L29" s="1023">
        <v>1</v>
      </c>
      <c r="M29" s="1024">
        <f t="shared" si="0"/>
        <v>653137.79</v>
      </c>
    </row>
    <row r="30" spans="1:13" ht="12.75">
      <c r="A30" s="1019">
        <v>17</v>
      </c>
      <c r="B30" s="1020" t="s">
        <v>1030</v>
      </c>
      <c r="C30" s="1174" t="s">
        <v>1031</v>
      </c>
      <c r="D30" s="1174"/>
      <c r="E30" s="1022" t="s">
        <v>998</v>
      </c>
      <c r="F30" s="1023">
        <v>1</v>
      </c>
      <c r="G30" s="1024">
        <v>880383.45</v>
      </c>
      <c r="H30" s="1025" t="s">
        <v>974</v>
      </c>
      <c r="I30" s="1025" t="s">
        <v>999</v>
      </c>
      <c r="J30" s="1025" t="s">
        <v>974</v>
      </c>
      <c r="K30" s="1025">
        <v>180420.67</v>
      </c>
      <c r="L30" s="1023">
        <v>1</v>
      </c>
      <c r="M30" s="1024">
        <f t="shared" si="0"/>
        <v>699962.7799999999</v>
      </c>
    </row>
    <row r="31" spans="1:13" ht="12.75">
      <c r="A31" s="1019">
        <v>18</v>
      </c>
      <c r="B31" s="1020" t="s">
        <v>1032</v>
      </c>
      <c r="C31" s="1174" t="s">
        <v>1033</v>
      </c>
      <c r="D31" s="1174"/>
      <c r="E31" s="1022" t="s">
        <v>998</v>
      </c>
      <c r="F31" s="1023">
        <v>1</v>
      </c>
      <c r="G31" s="1024">
        <v>534253.95</v>
      </c>
      <c r="H31" s="1025" t="s">
        <v>974</v>
      </c>
      <c r="I31" s="1025" t="s">
        <v>999</v>
      </c>
      <c r="J31" s="1025" t="s">
        <v>974</v>
      </c>
      <c r="K31" s="1025">
        <v>98690.79</v>
      </c>
      <c r="L31" s="1023">
        <v>1</v>
      </c>
      <c r="M31" s="1024">
        <f t="shared" si="0"/>
        <v>435563.16</v>
      </c>
    </row>
    <row r="32" spans="1:13" ht="12.75">
      <c r="A32" s="1019">
        <v>19</v>
      </c>
      <c r="B32" s="1020" t="s">
        <v>1034</v>
      </c>
      <c r="C32" s="1174" t="s">
        <v>1035</v>
      </c>
      <c r="D32" s="1174"/>
      <c r="E32" s="1022" t="s">
        <v>998</v>
      </c>
      <c r="F32" s="1023">
        <v>1</v>
      </c>
      <c r="G32" s="1024">
        <v>594668.2</v>
      </c>
      <c r="H32" s="1025" t="s">
        <v>974</v>
      </c>
      <c r="I32" s="1025" t="s">
        <v>999</v>
      </c>
      <c r="J32" s="1025" t="s">
        <v>974</v>
      </c>
      <c r="K32" s="1025">
        <v>151947.53</v>
      </c>
      <c r="L32" s="1023">
        <v>1</v>
      </c>
      <c r="M32" s="1024">
        <f t="shared" si="0"/>
        <v>442720.6699999999</v>
      </c>
    </row>
    <row r="33" spans="1:13" ht="12.75">
      <c r="A33" s="1019">
        <v>20</v>
      </c>
      <c r="B33" s="1020" t="s">
        <v>1036</v>
      </c>
      <c r="C33" s="1174" t="s">
        <v>1037</v>
      </c>
      <c r="D33" s="1174"/>
      <c r="E33" s="1022" t="s">
        <v>998</v>
      </c>
      <c r="F33" s="1023">
        <v>1</v>
      </c>
      <c r="G33" s="1024">
        <v>958084.6</v>
      </c>
      <c r="H33" s="1025" t="s">
        <v>974</v>
      </c>
      <c r="I33" s="1025" t="s">
        <v>999</v>
      </c>
      <c r="J33" s="1025" t="s">
        <v>974</v>
      </c>
      <c r="K33" s="1025">
        <v>215726.26</v>
      </c>
      <c r="L33" s="1023">
        <v>1</v>
      </c>
      <c r="M33" s="1024">
        <f t="shared" si="0"/>
        <v>742358.34</v>
      </c>
    </row>
    <row r="34" spans="1:13" ht="12.75">
      <c r="A34" s="1019">
        <v>21</v>
      </c>
      <c r="B34" s="1020" t="s">
        <v>1038</v>
      </c>
      <c r="C34" s="1174" t="s">
        <v>1039</v>
      </c>
      <c r="D34" s="1174"/>
      <c r="E34" s="1022" t="s">
        <v>998</v>
      </c>
      <c r="F34" s="1023">
        <v>1</v>
      </c>
      <c r="G34" s="1024">
        <v>958084.6</v>
      </c>
      <c r="H34" s="1025" t="s">
        <v>974</v>
      </c>
      <c r="I34" s="1025" t="s">
        <v>999</v>
      </c>
      <c r="J34" s="1025" t="s">
        <v>974</v>
      </c>
      <c r="K34" s="1025">
        <v>215726.26</v>
      </c>
      <c r="L34" s="1023">
        <v>1</v>
      </c>
      <c r="M34" s="1024">
        <f t="shared" si="0"/>
        <v>742358.34</v>
      </c>
    </row>
    <row r="35" spans="1:13" ht="12.75">
      <c r="A35" s="1019">
        <v>22</v>
      </c>
      <c r="B35" s="1020" t="s">
        <v>1040</v>
      </c>
      <c r="C35" s="1174" t="s">
        <v>1041</v>
      </c>
      <c r="D35" s="1174"/>
      <c r="E35" s="1022" t="s">
        <v>998</v>
      </c>
      <c r="F35" s="1023">
        <v>1</v>
      </c>
      <c r="G35" s="1024">
        <v>534252.5</v>
      </c>
      <c r="H35" s="1025" t="s">
        <v>974</v>
      </c>
      <c r="I35" s="1025" t="s">
        <v>999</v>
      </c>
      <c r="J35" s="1025" t="s">
        <v>974</v>
      </c>
      <c r="K35" s="1025">
        <v>98687.35</v>
      </c>
      <c r="L35" s="1023">
        <v>1</v>
      </c>
      <c r="M35" s="1024">
        <f t="shared" si="0"/>
        <v>435565.15</v>
      </c>
    </row>
    <row r="36" spans="1:13" ht="12.75">
      <c r="A36" s="1019">
        <v>23</v>
      </c>
      <c r="B36" s="1020" t="s">
        <v>1042</v>
      </c>
      <c r="C36" s="1174" t="s">
        <v>1043</v>
      </c>
      <c r="D36" s="1174"/>
      <c r="E36" s="1022" t="s">
        <v>998</v>
      </c>
      <c r="F36" s="1023">
        <v>1</v>
      </c>
      <c r="G36" s="1024">
        <v>534252.5</v>
      </c>
      <c r="H36" s="1025" t="s">
        <v>974</v>
      </c>
      <c r="I36" s="1025" t="s">
        <v>999</v>
      </c>
      <c r="J36" s="1025" t="s">
        <v>974</v>
      </c>
      <c r="K36" s="1025">
        <v>98687.35</v>
      </c>
      <c r="L36" s="1023">
        <v>1</v>
      </c>
      <c r="M36" s="1024">
        <f t="shared" si="0"/>
        <v>435565.15</v>
      </c>
    </row>
    <row r="37" spans="1:13" ht="12.75">
      <c r="A37" s="1019">
        <v>24</v>
      </c>
      <c r="B37" s="1020" t="s">
        <v>1044</v>
      </c>
      <c r="C37" s="1174" t="s">
        <v>1045</v>
      </c>
      <c r="D37" s="1174"/>
      <c r="E37" s="1022" t="s">
        <v>998</v>
      </c>
      <c r="F37" s="1023">
        <v>1</v>
      </c>
      <c r="G37" s="1024">
        <v>360252.5</v>
      </c>
      <c r="H37" s="1025" t="s">
        <v>974</v>
      </c>
      <c r="I37" s="1025" t="s">
        <v>999</v>
      </c>
      <c r="J37" s="1025" t="s">
        <v>974</v>
      </c>
      <c r="K37" s="1025">
        <v>62910.46</v>
      </c>
      <c r="L37" s="1023">
        <v>1</v>
      </c>
      <c r="M37" s="1024">
        <f t="shared" si="0"/>
        <v>297342.04</v>
      </c>
    </row>
    <row r="38" spans="1:13" ht="12.75">
      <c r="A38" s="1019">
        <v>25</v>
      </c>
      <c r="B38" s="1020" t="s">
        <v>1046</v>
      </c>
      <c r="C38" s="1174" t="s">
        <v>1047</v>
      </c>
      <c r="D38" s="1174"/>
      <c r="E38" s="1022" t="s">
        <v>998</v>
      </c>
      <c r="F38" s="1023">
        <v>1</v>
      </c>
      <c r="G38" s="1024">
        <v>273830</v>
      </c>
      <c r="H38" s="1025" t="s">
        <v>974</v>
      </c>
      <c r="I38" s="1025" t="s">
        <v>999</v>
      </c>
      <c r="J38" s="1025" t="s">
        <v>974</v>
      </c>
      <c r="K38" s="1025">
        <v>3042.56</v>
      </c>
      <c r="L38" s="1023">
        <v>1</v>
      </c>
      <c r="M38" s="1024">
        <f t="shared" si="0"/>
        <v>270787.44</v>
      </c>
    </row>
    <row r="39" spans="1:13" ht="12.75">
      <c r="A39" s="1019">
        <v>26</v>
      </c>
      <c r="B39" s="1020" t="s">
        <v>1048</v>
      </c>
      <c r="C39" s="1174" t="s">
        <v>1049</v>
      </c>
      <c r="D39" s="1174"/>
      <c r="E39" s="1022" t="s">
        <v>998</v>
      </c>
      <c r="F39" s="1023">
        <v>1</v>
      </c>
      <c r="G39" s="1024">
        <v>3000000</v>
      </c>
      <c r="H39" s="1025" t="s">
        <v>974</v>
      </c>
      <c r="I39" s="1025" t="s">
        <v>999</v>
      </c>
      <c r="J39" s="1025" t="s">
        <v>974</v>
      </c>
      <c r="K39" s="1025">
        <v>555168.66</v>
      </c>
      <c r="L39" s="1023">
        <v>1</v>
      </c>
      <c r="M39" s="1024">
        <f t="shared" si="0"/>
        <v>2444831.34</v>
      </c>
    </row>
    <row r="40" spans="1:13" ht="12.75">
      <c r="A40" s="1019">
        <v>27</v>
      </c>
      <c r="B40" s="1020" t="s">
        <v>1050</v>
      </c>
      <c r="C40" s="1174" t="s">
        <v>1051</v>
      </c>
      <c r="D40" s="1174"/>
      <c r="E40" s="1022" t="s">
        <v>998</v>
      </c>
      <c r="F40" s="1023">
        <v>1</v>
      </c>
      <c r="G40" s="1024">
        <v>5350000</v>
      </c>
      <c r="H40" s="1025" t="s">
        <v>974</v>
      </c>
      <c r="I40" s="1025" t="s">
        <v>999</v>
      </c>
      <c r="J40" s="1025" t="s">
        <v>974</v>
      </c>
      <c r="K40" s="1025">
        <v>919976</v>
      </c>
      <c r="L40" s="1023">
        <v>1</v>
      </c>
      <c r="M40" s="1024">
        <f t="shared" si="0"/>
        <v>4430024</v>
      </c>
    </row>
    <row r="41" spans="1:13" ht="12.75">
      <c r="A41" s="1019">
        <v>28</v>
      </c>
      <c r="B41" s="1020" t="s">
        <v>1052</v>
      </c>
      <c r="C41" s="1174" t="s">
        <v>1053</v>
      </c>
      <c r="D41" s="1174"/>
      <c r="E41" s="1022" t="s">
        <v>998</v>
      </c>
      <c r="F41" s="1023">
        <v>1</v>
      </c>
      <c r="G41" s="1024">
        <v>290000</v>
      </c>
      <c r="H41" s="1025" t="s">
        <v>974</v>
      </c>
      <c r="I41" s="1025" t="s">
        <v>999</v>
      </c>
      <c r="J41" s="1025" t="s">
        <v>974</v>
      </c>
      <c r="K41" s="1025">
        <v>19526.18</v>
      </c>
      <c r="L41" s="1023">
        <v>1</v>
      </c>
      <c r="M41" s="1024">
        <f t="shared" si="0"/>
        <v>270473.82</v>
      </c>
    </row>
    <row r="42" spans="1:13" ht="12.75">
      <c r="A42" s="1019">
        <v>29</v>
      </c>
      <c r="B42" s="1020" t="s">
        <v>1054</v>
      </c>
      <c r="C42" s="1174" t="s">
        <v>1055</v>
      </c>
      <c r="D42" s="1174"/>
      <c r="E42" s="1022" t="s">
        <v>998</v>
      </c>
      <c r="F42" s="1023">
        <v>1</v>
      </c>
      <c r="G42" s="1024">
        <v>560000</v>
      </c>
      <c r="H42" s="1025" t="s">
        <v>974</v>
      </c>
      <c r="I42" s="1025" t="s">
        <v>999</v>
      </c>
      <c r="J42" s="1025" t="s">
        <v>974</v>
      </c>
      <c r="K42" s="1025">
        <v>10266.63</v>
      </c>
      <c r="L42" s="1023">
        <v>1</v>
      </c>
      <c r="M42" s="1024">
        <f t="shared" si="0"/>
        <v>549733.37</v>
      </c>
    </row>
    <row r="43" spans="1:13" ht="12.75">
      <c r="A43" s="1019">
        <v>30</v>
      </c>
      <c r="B43" s="1020" t="s">
        <v>1056</v>
      </c>
      <c r="C43" s="1174" t="s">
        <v>1057</v>
      </c>
      <c r="D43" s="1174"/>
      <c r="E43" s="1022" t="s">
        <v>998</v>
      </c>
      <c r="F43" s="1023">
        <v>1</v>
      </c>
      <c r="G43" s="1024">
        <v>225000</v>
      </c>
      <c r="H43" s="1025" t="s">
        <v>974</v>
      </c>
      <c r="I43" s="1025" t="s">
        <v>999</v>
      </c>
      <c r="J43" s="1025" t="s">
        <v>974</v>
      </c>
      <c r="K43" s="1025">
        <v>4125</v>
      </c>
      <c r="L43" s="1023">
        <v>1</v>
      </c>
      <c r="M43" s="1024">
        <f t="shared" si="0"/>
        <v>220875</v>
      </c>
    </row>
    <row r="44" spans="1:13" ht="12.75">
      <c r="A44" s="1019">
        <v>31</v>
      </c>
      <c r="B44" s="1020" t="s">
        <v>1058</v>
      </c>
      <c r="C44" s="1174" t="s">
        <v>1059</v>
      </c>
      <c r="D44" s="1174"/>
      <c r="E44" s="1022" t="s">
        <v>998</v>
      </c>
      <c r="F44" s="1023">
        <v>1</v>
      </c>
      <c r="G44" s="1024">
        <v>175000</v>
      </c>
      <c r="H44" s="1025" t="s">
        <v>974</v>
      </c>
      <c r="I44" s="1025" t="s">
        <v>999</v>
      </c>
      <c r="J44" s="1025" t="s">
        <v>974</v>
      </c>
      <c r="K44" s="1025">
        <v>3208.37</v>
      </c>
      <c r="L44" s="1023">
        <v>1</v>
      </c>
      <c r="M44" s="1024">
        <f t="shared" si="0"/>
        <v>171791.63</v>
      </c>
    </row>
    <row r="45" spans="1:13" ht="12.75">
      <c r="A45" s="1019">
        <v>32</v>
      </c>
      <c r="B45" s="1020" t="s">
        <v>1060</v>
      </c>
      <c r="C45" s="1174" t="s">
        <v>1061</v>
      </c>
      <c r="D45" s="1174"/>
      <c r="E45" s="1022" t="s">
        <v>998</v>
      </c>
      <c r="F45" s="1023">
        <v>1</v>
      </c>
      <c r="G45" s="1024">
        <v>320000</v>
      </c>
      <c r="H45" s="1025" t="s">
        <v>974</v>
      </c>
      <c r="I45" s="1025" t="s">
        <v>999</v>
      </c>
      <c r="J45" s="1025" t="s">
        <v>974</v>
      </c>
      <c r="K45" s="1025">
        <v>5866.63</v>
      </c>
      <c r="L45" s="1023">
        <v>1</v>
      </c>
      <c r="M45" s="1024">
        <f t="shared" si="0"/>
        <v>314133.37</v>
      </c>
    </row>
    <row r="46" spans="1:13" ht="12.75">
      <c r="A46" s="1019">
        <v>33</v>
      </c>
      <c r="B46" s="1020" t="s">
        <v>1062</v>
      </c>
      <c r="C46" s="1174" t="s">
        <v>1063</v>
      </c>
      <c r="D46" s="1174"/>
      <c r="E46" s="1022" t="s">
        <v>998</v>
      </c>
      <c r="F46" s="1023">
        <v>1</v>
      </c>
      <c r="G46" s="1024">
        <v>583683</v>
      </c>
      <c r="H46" s="1025" t="s">
        <v>974</v>
      </c>
      <c r="I46" s="1025" t="s">
        <v>999</v>
      </c>
      <c r="J46" s="1025" t="s">
        <v>974</v>
      </c>
      <c r="K46" s="1025">
        <v>173847.87</v>
      </c>
      <c r="L46" s="1023">
        <v>1</v>
      </c>
      <c r="M46" s="1024">
        <f t="shared" si="0"/>
        <v>409835.13</v>
      </c>
    </row>
    <row r="47" spans="1:13" ht="12.75">
      <c r="A47" s="1019">
        <v>34</v>
      </c>
      <c r="B47" s="1020" t="s">
        <v>1064</v>
      </c>
      <c r="C47" s="1174" t="s">
        <v>1065</v>
      </c>
      <c r="D47" s="1174"/>
      <c r="E47" s="1022" t="s">
        <v>998</v>
      </c>
      <c r="F47" s="1023">
        <v>1</v>
      </c>
      <c r="G47" s="1024">
        <v>471930.05</v>
      </c>
      <c r="H47" s="1025" t="s">
        <v>974</v>
      </c>
      <c r="I47" s="1025" t="s">
        <v>999</v>
      </c>
      <c r="J47" s="1025" t="s">
        <v>974</v>
      </c>
      <c r="K47" s="1025">
        <v>338367.44</v>
      </c>
      <c r="L47" s="1023">
        <v>1</v>
      </c>
      <c r="M47" s="1024">
        <f t="shared" si="0"/>
        <v>133562.61</v>
      </c>
    </row>
    <row r="48" spans="1:13" ht="12.75">
      <c r="A48" s="1019">
        <v>35</v>
      </c>
      <c r="B48" s="1020" t="s">
        <v>1066</v>
      </c>
      <c r="C48" s="1174" t="s">
        <v>1067</v>
      </c>
      <c r="D48" s="1174"/>
      <c r="E48" s="1022" t="s">
        <v>998</v>
      </c>
      <c r="F48" s="1023">
        <v>1</v>
      </c>
      <c r="G48" s="1024">
        <v>539349.25</v>
      </c>
      <c r="H48" s="1025" t="s">
        <v>974</v>
      </c>
      <c r="I48" s="1025" t="s">
        <v>999</v>
      </c>
      <c r="J48" s="1025" t="s">
        <v>974</v>
      </c>
      <c r="K48" s="1025">
        <v>417761.87</v>
      </c>
      <c r="L48" s="1023">
        <v>1</v>
      </c>
      <c r="M48" s="1024">
        <f t="shared" si="0"/>
        <v>121587.38</v>
      </c>
    </row>
    <row r="49" spans="1:13" ht="12.75">
      <c r="A49" s="1019">
        <v>36</v>
      </c>
      <c r="B49" s="1020" t="s">
        <v>1068</v>
      </c>
      <c r="C49" s="1174" t="s">
        <v>1069</v>
      </c>
      <c r="D49" s="1174"/>
      <c r="E49" s="1022" t="s">
        <v>998</v>
      </c>
      <c r="F49" s="1023">
        <v>1</v>
      </c>
      <c r="G49" s="1024">
        <v>767627</v>
      </c>
      <c r="H49" s="1025" t="s">
        <v>974</v>
      </c>
      <c r="I49" s="1025" t="s">
        <v>999</v>
      </c>
      <c r="J49" s="1025" t="s">
        <v>974</v>
      </c>
      <c r="K49" s="1025">
        <v>23949.9</v>
      </c>
      <c r="L49" s="1023">
        <v>1</v>
      </c>
      <c r="M49" s="1024">
        <f t="shared" si="0"/>
        <v>743677.1</v>
      </c>
    </row>
    <row r="50" spans="1:13" ht="12.75">
      <c r="A50" s="1019">
        <v>37</v>
      </c>
      <c r="B50" s="1020" t="s">
        <v>1070</v>
      </c>
      <c r="C50" s="1174" t="s">
        <v>1071</v>
      </c>
      <c r="D50" s="1174"/>
      <c r="E50" s="1022" t="s">
        <v>998</v>
      </c>
      <c r="F50" s="1023">
        <v>1</v>
      </c>
      <c r="G50" s="1024">
        <v>325929</v>
      </c>
      <c r="H50" s="1025" t="s">
        <v>974</v>
      </c>
      <c r="I50" s="1025" t="s">
        <v>999</v>
      </c>
      <c r="J50" s="1025" t="s">
        <v>974</v>
      </c>
      <c r="K50" s="1025">
        <v>10168.95</v>
      </c>
      <c r="L50" s="1023">
        <v>1</v>
      </c>
      <c r="M50" s="1024">
        <f t="shared" si="0"/>
        <v>315760.05</v>
      </c>
    </row>
    <row r="51" spans="1:13" ht="12.75">
      <c r="A51" s="1019">
        <v>38</v>
      </c>
      <c r="B51" s="1020" t="s">
        <v>1072</v>
      </c>
      <c r="C51" s="1174" t="s">
        <v>1073</v>
      </c>
      <c r="D51" s="1174"/>
      <c r="E51" s="1022" t="s">
        <v>998</v>
      </c>
      <c r="F51" s="1023">
        <v>1</v>
      </c>
      <c r="G51" s="1024">
        <v>542830</v>
      </c>
      <c r="H51" s="1025" t="s">
        <v>974</v>
      </c>
      <c r="I51" s="1025" t="s">
        <v>999</v>
      </c>
      <c r="J51" s="1025" t="s">
        <v>974</v>
      </c>
      <c r="K51" s="1025">
        <v>16936.35</v>
      </c>
      <c r="L51" s="1023">
        <v>1</v>
      </c>
      <c r="M51" s="1024">
        <f t="shared" si="0"/>
        <v>525893.65</v>
      </c>
    </row>
    <row r="52" spans="1:13" ht="12.75">
      <c r="A52" s="1019">
        <v>39</v>
      </c>
      <c r="B52" s="1020" t="s">
        <v>1074</v>
      </c>
      <c r="C52" s="1174" t="s">
        <v>1075</v>
      </c>
      <c r="D52" s="1174"/>
      <c r="E52" s="1022" t="s">
        <v>998</v>
      </c>
      <c r="F52" s="1023">
        <v>1</v>
      </c>
      <c r="G52" s="1024">
        <v>308026</v>
      </c>
      <c r="H52" s="1025" t="s">
        <v>974</v>
      </c>
      <c r="I52" s="1025" t="s">
        <v>999</v>
      </c>
      <c r="J52" s="1025" t="s">
        <v>974</v>
      </c>
      <c r="K52" s="1025">
        <v>9610.35</v>
      </c>
      <c r="L52" s="1023">
        <v>1</v>
      </c>
      <c r="M52" s="1024">
        <f t="shared" si="0"/>
        <v>298415.65</v>
      </c>
    </row>
    <row r="53" spans="1:13" ht="12.75">
      <c r="A53" s="1019">
        <v>40</v>
      </c>
      <c r="B53" s="1020" t="s">
        <v>1076</v>
      </c>
      <c r="C53" s="1174" t="s">
        <v>1077</v>
      </c>
      <c r="D53" s="1174"/>
      <c r="E53" s="1022" t="s">
        <v>998</v>
      </c>
      <c r="F53" s="1023">
        <v>1</v>
      </c>
      <c r="G53" s="1024">
        <v>2532116.52</v>
      </c>
      <c r="H53" s="1025" t="s">
        <v>974</v>
      </c>
      <c r="I53" s="1025" t="s">
        <v>999</v>
      </c>
      <c r="J53" s="1025" t="s">
        <v>974</v>
      </c>
      <c r="K53" s="1025">
        <v>32432.4</v>
      </c>
      <c r="L53" s="1023">
        <v>1</v>
      </c>
      <c r="M53" s="1024">
        <f t="shared" si="0"/>
        <v>2499684.12</v>
      </c>
    </row>
    <row r="54" spans="1:13" ht="12.75">
      <c r="A54" s="1019">
        <v>41</v>
      </c>
      <c r="B54" s="1020" t="s">
        <v>1078</v>
      </c>
      <c r="C54" s="1174" t="s">
        <v>1079</v>
      </c>
      <c r="D54" s="1174"/>
      <c r="E54" s="1022" t="s">
        <v>998</v>
      </c>
      <c r="F54" s="1023">
        <v>1</v>
      </c>
      <c r="G54" s="1024">
        <v>1056012.51</v>
      </c>
      <c r="H54" s="1025" t="s">
        <v>974</v>
      </c>
      <c r="I54" s="1025" t="s">
        <v>999</v>
      </c>
      <c r="J54" s="1025" t="s">
        <v>974</v>
      </c>
      <c r="K54" s="1025">
        <v>10860.3</v>
      </c>
      <c r="L54" s="1023">
        <v>1</v>
      </c>
      <c r="M54" s="1024">
        <f t="shared" si="0"/>
        <v>1045152.21</v>
      </c>
    </row>
    <row r="55" spans="1:13" ht="12.75">
      <c r="A55" s="1019">
        <v>42</v>
      </c>
      <c r="B55" s="1020" t="s">
        <v>1080</v>
      </c>
      <c r="C55" s="1174" t="s">
        <v>1081</v>
      </c>
      <c r="D55" s="1174"/>
      <c r="E55" s="1022" t="s">
        <v>998</v>
      </c>
      <c r="F55" s="1023">
        <v>1</v>
      </c>
      <c r="G55" s="1024">
        <v>883160.69</v>
      </c>
      <c r="H55" s="1025" t="s">
        <v>974</v>
      </c>
      <c r="I55" s="1025" t="s">
        <v>999</v>
      </c>
      <c r="J55" s="1025" t="s">
        <v>974</v>
      </c>
      <c r="K55" s="1025">
        <v>12869.25</v>
      </c>
      <c r="L55" s="1023">
        <v>1</v>
      </c>
      <c r="M55" s="1024">
        <f t="shared" si="0"/>
        <v>870291.44</v>
      </c>
    </row>
    <row r="56" spans="1:13" ht="12.75">
      <c r="A56" s="1019">
        <v>43</v>
      </c>
      <c r="B56" s="1020" t="s">
        <v>1082</v>
      </c>
      <c r="C56" s="1174" t="s">
        <v>1083</v>
      </c>
      <c r="D56" s="1174"/>
      <c r="E56" s="1022" t="s">
        <v>998</v>
      </c>
      <c r="F56" s="1023">
        <v>1</v>
      </c>
      <c r="G56" s="1024">
        <v>22531</v>
      </c>
      <c r="H56" s="1025" t="s">
        <v>974</v>
      </c>
      <c r="I56" s="1025" t="s">
        <v>999</v>
      </c>
      <c r="J56" s="1025" t="s">
        <v>974</v>
      </c>
      <c r="K56" s="1025">
        <v>702.9</v>
      </c>
      <c r="L56" s="1023">
        <v>1</v>
      </c>
      <c r="M56" s="1024">
        <f t="shared" si="0"/>
        <v>21828.1</v>
      </c>
    </row>
    <row r="57" spans="1:13" ht="12.75">
      <c r="A57" s="1019">
        <v>44</v>
      </c>
      <c r="B57" s="1020" t="s">
        <v>1084</v>
      </c>
      <c r="C57" s="1174" t="s">
        <v>1085</v>
      </c>
      <c r="D57" s="1174"/>
      <c r="E57" s="1022" t="s">
        <v>998</v>
      </c>
      <c r="F57" s="1023">
        <v>1</v>
      </c>
      <c r="G57" s="1024">
        <v>58388</v>
      </c>
      <c r="H57" s="1025" t="s">
        <v>974</v>
      </c>
      <c r="I57" s="1025" t="s">
        <v>999</v>
      </c>
      <c r="J57" s="1025" t="s">
        <v>974</v>
      </c>
      <c r="K57" s="1025">
        <v>1821.75</v>
      </c>
      <c r="L57" s="1023">
        <v>1</v>
      </c>
      <c r="M57" s="1024">
        <f t="shared" si="0"/>
        <v>56566.25</v>
      </c>
    </row>
    <row r="58" spans="1:13" ht="12.75">
      <c r="A58" s="1019">
        <v>45</v>
      </c>
      <c r="B58" s="1020" t="s">
        <v>1086</v>
      </c>
      <c r="C58" s="1174" t="s">
        <v>1087</v>
      </c>
      <c r="D58" s="1174"/>
      <c r="E58" s="1022" t="s">
        <v>998</v>
      </c>
      <c r="F58" s="1023">
        <v>1</v>
      </c>
      <c r="G58" s="1024">
        <v>25638</v>
      </c>
      <c r="H58" s="1025" t="s">
        <v>974</v>
      </c>
      <c r="I58" s="1025" t="s">
        <v>999</v>
      </c>
      <c r="J58" s="1025" t="s">
        <v>974</v>
      </c>
      <c r="K58" s="1025">
        <v>915.3</v>
      </c>
      <c r="L58" s="1023">
        <v>1</v>
      </c>
      <c r="M58" s="1024">
        <f t="shared" si="0"/>
        <v>24722.7</v>
      </c>
    </row>
    <row r="59" spans="1:13" ht="12.75">
      <c r="A59" s="1019">
        <v>46</v>
      </c>
      <c r="B59" s="1020" t="s">
        <v>1088</v>
      </c>
      <c r="C59" s="1174" t="s">
        <v>1089</v>
      </c>
      <c r="D59" s="1174"/>
      <c r="E59" s="1022" t="s">
        <v>998</v>
      </c>
      <c r="F59" s="1023">
        <v>1</v>
      </c>
      <c r="G59" s="1024">
        <v>19000</v>
      </c>
      <c r="H59" s="1025" t="s">
        <v>974</v>
      </c>
      <c r="I59" s="1025" t="s">
        <v>999</v>
      </c>
      <c r="J59" s="1025" t="s">
        <v>974</v>
      </c>
      <c r="K59" s="1025">
        <v>19000</v>
      </c>
      <c r="L59" s="1023">
        <v>1</v>
      </c>
      <c r="M59" s="1024">
        <f t="shared" si="0"/>
        <v>0</v>
      </c>
    </row>
    <row r="60" spans="1:13" ht="12.75">
      <c r="A60" s="1019">
        <v>47</v>
      </c>
      <c r="B60" s="1020" t="s">
        <v>1090</v>
      </c>
      <c r="C60" s="1174" t="s">
        <v>1091</v>
      </c>
      <c r="D60" s="1174"/>
      <c r="E60" s="1022" t="s">
        <v>998</v>
      </c>
      <c r="F60" s="1023">
        <v>1</v>
      </c>
      <c r="G60" s="1024">
        <v>11880248</v>
      </c>
      <c r="H60" s="1025" t="s">
        <v>974</v>
      </c>
      <c r="I60" s="1025" t="s">
        <v>999</v>
      </c>
      <c r="J60" s="1025" t="s">
        <v>974</v>
      </c>
      <c r="K60" s="1025">
        <v>297600.15</v>
      </c>
      <c r="L60" s="1023">
        <v>1</v>
      </c>
      <c r="M60" s="1024">
        <f t="shared" si="0"/>
        <v>11582647.85</v>
      </c>
    </row>
    <row r="61" spans="1:13" ht="12.75">
      <c r="A61" s="1019">
        <v>48</v>
      </c>
      <c r="B61" s="1020" t="s">
        <v>1092</v>
      </c>
      <c r="C61" s="1174" t="s">
        <v>1093</v>
      </c>
      <c r="D61" s="1174"/>
      <c r="E61" s="1022" t="s">
        <v>998</v>
      </c>
      <c r="F61" s="1023">
        <v>1</v>
      </c>
      <c r="G61" s="1024">
        <v>534252.5</v>
      </c>
      <c r="H61" s="1025" t="s">
        <v>974</v>
      </c>
      <c r="I61" s="1025" t="s">
        <v>999</v>
      </c>
      <c r="J61" s="1025" t="s">
        <v>974</v>
      </c>
      <c r="K61" s="1025">
        <v>99237.31</v>
      </c>
      <c r="L61" s="1023">
        <v>1</v>
      </c>
      <c r="M61" s="1024">
        <f t="shared" si="0"/>
        <v>435015.19</v>
      </c>
    </row>
    <row r="62" spans="1:13" ht="12.75">
      <c r="A62" s="1019">
        <v>49</v>
      </c>
      <c r="B62" s="1019">
        <v>1010110</v>
      </c>
      <c r="C62" s="1174" t="s">
        <v>1094</v>
      </c>
      <c r="D62" s="1174"/>
      <c r="E62" s="1022" t="s">
        <v>998</v>
      </c>
      <c r="F62" s="1025">
        <v>1</v>
      </c>
      <c r="G62" s="1024">
        <v>56727</v>
      </c>
      <c r="H62" s="1025" t="s">
        <v>974</v>
      </c>
      <c r="I62" s="1025" t="s">
        <v>999</v>
      </c>
      <c r="J62" s="1025" t="s">
        <v>974</v>
      </c>
      <c r="K62" s="1025">
        <v>1770</v>
      </c>
      <c r="L62" s="1025" t="s">
        <v>974</v>
      </c>
      <c r="M62" s="1024">
        <f t="shared" si="0"/>
        <v>54957</v>
      </c>
    </row>
    <row r="63" spans="1:13" ht="12.75">
      <c r="A63" s="1019">
        <v>50</v>
      </c>
      <c r="B63" s="1019">
        <v>1010111</v>
      </c>
      <c r="C63" s="1174" t="s">
        <v>1095</v>
      </c>
      <c r="D63" s="1174"/>
      <c r="E63" s="1022" t="s">
        <v>998</v>
      </c>
      <c r="F63" s="1023">
        <v>1</v>
      </c>
      <c r="G63" s="1024">
        <v>118014</v>
      </c>
      <c r="H63" s="1025" t="s">
        <v>974</v>
      </c>
      <c r="I63" s="1025" t="s">
        <v>999</v>
      </c>
      <c r="J63" s="1025" t="s">
        <v>974</v>
      </c>
      <c r="K63" s="1025">
        <v>3682.5</v>
      </c>
      <c r="L63" s="1023">
        <v>1</v>
      </c>
      <c r="M63" s="1024">
        <f t="shared" si="0"/>
        <v>114331.5</v>
      </c>
    </row>
    <row r="64" spans="1:13" ht="12.75">
      <c r="A64" s="1019">
        <v>51</v>
      </c>
      <c r="B64" s="1019">
        <v>1010112</v>
      </c>
      <c r="C64" s="1174" t="s">
        <v>1096</v>
      </c>
      <c r="D64" s="1174"/>
      <c r="E64" s="1022" t="s">
        <v>998</v>
      </c>
      <c r="F64" s="1023">
        <v>1</v>
      </c>
      <c r="G64" s="1024">
        <v>180943</v>
      </c>
      <c r="H64" s="1025" t="s">
        <v>974</v>
      </c>
      <c r="I64" s="1025" t="s">
        <v>999</v>
      </c>
      <c r="J64" s="1025" t="s">
        <v>974</v>
      </c>
      <c r="K64" s="1025">
        <v>5645.4</v>
      </c>
      <c r="L64" s="1023">
        <v>1</v>
      </c>
      <c r="M64" s="1024">
        <f t="shared" si="0"/>
        <v>175297.6</v>
      </c>
    </row>
    <row r="65" spans="1:13" ht="12.75">
      <c r="A65" s="1019">
        <v>52</v>
      </c>
      <c r="B65" s="1020" t="s">
        <v>1072</v>
      </c>
      <c r="C65" s="1174" t="s">
        <v>1097</v>
      </c>
      <c r="D65" s="1174"/>
      <c r="E65" s="1022" t="s">
        <v>998</v>
      </c>
      <c r="F65" s="1023">
        <v>1</v>
      </c>
      <c r="G65" s="1024">
        <v>56750</v>
      </c>
      <c r="H65" s="1025" t="s">
        <v>974</v>
      </c>
      <c r="I65" s="1025" t="s">
        <v>999</v>
      </c>
      <c r="J65" s="1025" t="s">
        <v>974</v>
      </c>
      <c r="K65" s="1025">
        <v>8782.8</v>
      </c>
      <c r="L65" s="1023">
        <v>1</v>
      </c>
      <c r="M65" s="1024">
        <f>G65-K65</f>
        <v>47967.2</v>
      </c>
    </row>
    <row r="66" spans="1:13" ht="12.75">
      <c r="A66" s="1019">
        <v>53</v>
      </c>
      <c r="B66" s="1020" t="s">
        <v>1074</v>
      </c>
      <c r="C66" s="1174" t="s">
        <v>1097</v>
      </c>
      <c r="D66" s="1174"/>
      <c r="E66" s="1022" t="s">
        <v>998</v>
      </c>
      <c r="F66" s="1023">
        <v>1</v>
      </c>
      <c r="G66" s="1024">
        <v>52294.36</v>
      </c>
      <c r="H66" s="1025" t="s">
        <v>974</v>
      </c>
      <c r="I66" s="1025" t="s">
        <v>999</v>
      </c>
      <c r="J66" s="1025" t="s">
        <v>974</v>
      </c>
      <c r="K66" s="1025">
        <v>8093.15</v>
      </c>
      <c r="L66" s="1023">
        <v>1</v>
      </c>
      <c r="M66" s="1024">
        <f>G66-K66</f>
        <v>44201.21</v>
      </c>
    </row>
    <row r="67" spans="1:13" ht="12.75">
      <c r="A67" s="1019">
        <v>54</v>
      </c>
      <c r="B67" s="1020" t="s">
        <v>1076</v>
      </c>
      <c r="C67" s="1174" t="s">
        <v>1098</v>
      </c>
      <c r="D67" s="1174"/>
      <c r="E67" s="1022" t="s">
        <v>998</v>
      </c>
      <c r="F67" s="1023">
        <v>1</v>
      </c>
      <c r="G67" s="1024">
        <v>55300</v>
      </c>
      <c r="H67" s="1025" t="s">
        <v>974</v>
      </c>
      <c r="I67" s="1025" t="s">
        <v>999</v>
      </c>
      <c r="J67" s="1025" t="s">
        <v>974</v>
      </c>
      <c r="K67" s="1025">
        <v>8558.29</v>
      </c>
      <c r="L67" s="1023">
        <v>1</v>
      </c>
      <c r="M67" s="1024">
        <f>G67-K67</f>
        <v>46741.71</v>
      </c>
    </row>
    <row r="68" spans="1:13" ht="12.75">
      <c r="A68" s="1019">
        <v>55</v>
      </c>
      <c r="B68" s="1020" t="s">
        <v>1078</v>
      </c>
      <c r="C68" s="1174" t="s">
        <v>1099</v>
      </c>
      <c r="D68" s="1174"/>
      <c r="E68" s="1022" t="s">
        <v>998</v>
      </c>
      <c r="F68" s="1023">
        <v>1</v>
      </c>
      <c r="G68" s="1024">
        <v>93000</v>
      </c>
      <c r="H68" s="1025" t="s">
        <v>974</v>
      </c>
      <c r="I68" s="1025" t="s">
        <v>999</v>
      </c>
      <c r="J68" s="1025" t="s">
        <v>974</v>
      </c>
      <c r="K68" s="1025">
        <v>14392.82</v>
      </c>
      <c r="L68" s="1023">
        <v>1</v>
      </c>
      <c r="M68" s="1024">
        <f>G68-K68</f>
        <v>78607.18</v>
      </c>
    </row>
    <row r="69" spans="1:13" ht="12.75">
      <c r="A69" s="1019">
        <v>56</v>
      </c>
      <c r="B69" s="1020" t="s">
        <v>1080</v>
      </c>
      <c r="C69" s="1174" t="s">
        <v>1099</v>
      </c>
      <c r="D69" s="1174"/>
      <c r="E69" s="1022" t="s">
        <v>998</v>
      </c>
      <c r="F69" s="1023">
        <v>1</v>
      </c>
      <c r="G69" s="1024">
        <v>93000</v>
      </c>
      <c r="H69" s="1025" t="s">
        <v>974</v>
      </c>
      <c r="I69" s="1025" t="s">
        <v>999</v>
      </c>
      <c r="J69" s="1025" t="s">
        <v>974</v>
      </c>
      <c r="K69" s="1025">
        <v>14392.82</v>
      </c>
      <c r="L69" s="1023">
        <v>1</v>
      </c>
      <c r="M69" s="1024">
        <f>G69-K69</f>
        <v>78607.18</v>
      </c>
    </row>
    <row r="70" spans="1:13" ht="12.75">
      <c r="A70" s="1019">
        <v>57</v>
      </c>
      <c r="B70" s="1020" t="s">
        <v>1082</v>
      </c>
      <c r="C70" s="1174" t="s">
        <v>1100</v>
      </c>
      <c r="D70" s="1174"/>
      <c r="E70" s="1022" t="s">
        <v>998</v>
      </c>
      <c r="F70" s="1023">
        <v>1</v>
      </c>
      <c r="G70" s="1024">
        <v>5800</v>
      </c>
      <c r="H70" s="1025" t="s">
        <v>974</v>
      </c>
      <c r="I70" s="1025" t="s">
        <v>999</v>
      </c>
      <c r="J70" s="1025" t="s">
        <v>974</v>
      </c>
      <c r="K70" s="1025">
        <v>0</v>
      </c>
      <c r="L70" s="1023">
        <v>1</v>
      </c>
      <c r="M70" s="1024">
        <f>G70</f>
        <v>5800</v>
      </c>
    </row>
    <row r="71" spans="1:13" ht="12.75">
      <c r="A71" s="1019">
        <v>58</v>
      </c>
      <c r="B71" s="1020" t="s">
        <v>1084</v>
      </c>
      <c r="C71" s="1174" t="s">
        <v>1100</v>
      </c>
      <c r="D71" s="1174"/>
      <c r="E71" s="1022" t="s">
        <v>998</v>
      </c>
      <c r="F71" s="1023">
        <v>1</v>
      </c>
      <c r="G71" s="1024">
        <v>5800</v>
      </c>
      <c r="H71" s="1025" t="s">
        <v>974</v>
      </c>
      <c r="I71" s="1025" t="s">
        <v>999</v>
      </c>
      <c r="J71" s="1025" t="s">
        <v>974</v>
      </c>
      <c r="K71" s="1025">
        <v>0</v>
      </c>
      <c r="L71" s="1023">
        <v>1</v>
      </c>
      <c r="M71" s="1024">
        <f>G71</f>
        <v>5800</v>
      </c>
    </row>
    <row r="72" spans="1:13" ht="12.75">
      <c r="A72" s="1019">
        <v>59</v>
      </c>
      <c r="B72" s="1020" t="s">
        <v>1101</v>
      </c>
      <c r="C72" s="1174" t="s">
        <v>1102</v>
      </c>
      <c r="D72" s="1174"/>
      <c r="E72" s="1022" t="s">
        <v>998</v>
      </c>
      <c r="F72" s="1023">
        <v>1</v>
      </c>
      <c r="G72" s="1024">
        <v>17270</v>
      </c>
      <c r="H72" s="1025" t="s">
        <v>974</v>
      </c>
      <c r="I72" s="1025" t="s">
        <v>999</v>
      </c>
      <c r="J72" s="1025" t="s">
        <v>974</v>
      </c>
      <c r="K72" s="1025">
        <v>0</v>
      </c>
      <c r="L72" s="1023">
        <v>1</v>
      </c>
      <c r="M72" s="1024">
        <v>17270</v>
      </c>
    </row>
    <row r="73" spans="1:13" ht="12.75">
      <c r="A73" s="1019">
        <v>60</v>
      </c>
      <c r="B73" s="1020" t="s">
        <v>1103</v>
      </c>
      <c r="C73" s="1174" t="s">
        <v>1104</v>
      </c>
      <c r="D73" s="1174"/>
      <c r="E73" s="1022" t="s">
        <v>998</v>
      </c>
      <c r="F73" s="1023">
        <v>1</v>
      </c>
      <c r="G73" s="1024">
        <v>20790</v>
      </c>
      <c r="H73" s="1025" t="s">
        <v>974</v>
      </c>
      <c r="I73" s="1025" t="s">
        <v>999</v>
      </c>
      <c r="J73" s="1025" t="s">
        <v>974</v>
      </c>
      <c r="K73" s="1025">
        <v>0</v>
      </c>
      <c r="L73" s="1023">
        <v>1</v>
      </c>
      <c r="M73" s="1024">
        <v>20790</v>
      </c>
    </row>
    <row r="74" spans="1:13" ht="12.75">
      <c r="A74" s="1019">
        <v>61</v>
      </c>
      <c r="B74" s="1020" t="s">
        <v>1105</v>
      </c>
      <c r="C74" s="1174" t="s">
        <v>1106</v>
      </c>
      <c r="D74" s="1174"/>
      <c r="E74" s="1022" t="s">
        <v>998</v>
      </c>
      <c r="F74" s="1023">
        <v>1</v>
      </c>
      <c r="G74" s="1024">
        <v>22731.68</v>
      </c>
      <c r="H74" s="1025" t="s">
        <v>974</v>
      </c>
      <c r="I74" s="1025" t="s">
        <v>999</v>
      </c>
      <c r="J74" s="1025" t="s">
        <v>974</v>
      </c>
      <c r="K74" s="1025">
        <v>22731.68</v>
      </c>
      <c r="L74" s="1023">
        <v>1</v>
      </c>
      <c r="M74" s="1024">
        <f>G74-K74</f>
        <v>0</v>
      </c>
    </row>
    <row r="75" spans="1:13" ht="12.75">
      <c r="A75" s="1019">
        <v>62</v>
      </c>
      <c r="B75" s="1020" t="s">
        <v>1107</v>
      </c>
      <c r="C75" s="1174" t="s">
        <v>1106</v>
      </c>
      <c r="D75" s="1174"/>
      <c r="E75" s="1022" t="s">
        <v>998</v>
      </c>
      <c r="F75" s="1023">
        <v>1</v>
      </c>
      <c r="G75" s="1024">
        <v>28058.72</v>
      </c>
      <c r="H75" s="1025" t="s">
        <v>974</v>
      </c>
      <c r="I75" s="1025" t="s">
        <v>999</v>
      </c>
      <c r="J75" s="1025" t="s">
        <v>974</v>
      </c>
      <c r="K75" s="1025">
        <v>28058.72</v>
      </c>
      <c r="L75" s="1023">
        <v>1</v>
      </c>
      <c r="M75" s="1024">
        <f>G75-K75</f>
        <v>0</v>
      </c>
    </row>
    <row r="76" spans="1:13" ht="12.75">
      <c r="A76" s="1019">
        <v>63</v>
      </c>
      <c r="B76" s="1020" t="s">
        <v>1108</v>
      </c>
      <c r="C76" s="1174" t="s">
        <v>1109</v>
      </c>
      <c r="D76" s="1174"/>
      <c r="E76" s="1022" t="s">
        <v>998</v>
      </c>
      <c r="F76" s="1023">
        <v>1</v>
      </c>
      <c r="G76" s="1024">
        <v>1000000</v>
      </c>
      <c r="H76" s="1025" t="s">
        <v>974</v>
      </c>
      <c r="I76" s="1025" t="s">
        <v>999</v>
      </c>
      <c r="J76" s="1025" t="s">
        <v>974</v>
      </c>
      <c r="K76" s="1025">
        <v>190476.16</v>
      </c>
      <c r="L76" s="1023">
        <v>1</v>
      </c>
      <c r="M76" s="1024">
        <f>G76-K76</f>
        <v>809523.84</v>
      </c>
    </row>
    <row r="77" spans="1:13" ht="12.75">
      <c r="A77" s="1019">
        <v>64</v>
      </c>
      <c r="B77" s="1020" t="s">
        <v>1110</v>
      </c>
      <c r="C77" s="1174" t="s">
        <v>1111</v>
      </c>
      <c r="D77" s="1174"/>
      <c r="E77" s="1022" t="s">
        <v>998</v>
      </c>
      <c r="F77" s="1023">
        <v>1</v>
      </c>
      <c r="G77" s="1024">
        <v>198366</v>
      </c>
      <c r="H77" s="1025" t="s">
        <v>974</v>
      </c>
      <c r="I77" s="1025" t="s">
        <v>999</v>
      </c>
      <c r="J77" s="1025" t="s">
        <v>974</v>
      </c>
      <c r="K77" s="1025">
        <v>0</v>
      </c>
      <c r="L77" s="1023">
        <v>1</v>
      </c>
      <c r="M77" s="1024">
        <v>198366</v>
      </c>
    </row>
    <row r="78" spans="1:13" ht="12.75">
      <c r="A78" s="1019">
        <v>65</v>
      </c>
      <c r="B78" s="1020" t="s">
        <v>1112</v>
      </c>
      <c r="C78" s="1174" t="s">
        <v>1113</v>
      </c>
      <c r="D78" s="1174"/>
      <c r="E78" s="1022" t="s">
        <v>998</v>
      </c>
      <c r="F78" s="1023">
        <v>1</v>
      </c>
      <c r="G78" s="1024">
        <v>9500</v>
      </c>
      <c r="H78" s="1025" t="s">
        <v>974</v>
      </c>
      <c r="I78" s="1025" t="s">
        <v>999</v>
      </c>
      <c r="J78" s="1025" t="s">
        <v>974</v>
      </c>
      <c r="K78" s="1025">
        <v>9500</v>
      </c>
      <c r="L78" s="1023">
        <v>1</v>
      </c>
      <c r="M78" s="1024">
        <f aca="true" t="shared" si="1" ref="M78:M84">G78-K78</f>
        <v>0</v>
      </c>
    </row>
    <row r="79" spans="1:13" ht="12.75">
      <c r="A79" s="1019">
        <v>66</v>
      </c>
      <c r="B79" s="1020" t="s">
        <v>1114</v>
      </c>
      <c r="C79" s="1174" t="s">
        <v>1115</v>
      </c>
      <c r="D79" s="1174"/>
      <c r="E79" s="1022" t="s">
        <v>998</v>
      </c>
      <c r="F79" s="1023">
        <v>30</v>
      </c>
      <c r="G79" s="1024">
        <v>90000</v>
      </c>
      <c r="H79" s="1025" t="s">
        <v>974</v>
      </c>
      <c r="I79" s="1025" t="s">
        <v>999</v>
      </c>
      <c r="J79" s="1025" t="s">
        <v>974</v>
      </c>
      <c r="K79" s="1025">
        <v>90000</v>
      </c>
      <c r="L79" s="1023">
        <v>30</v>
      </c>
      <c r="M79" s="1024">
        <f t="shared" si="1"/>
        <v>0</v>
      </c>
    </row>
    <row r="80" spans="1:13" ht="12.75">
      <c r="A80" s="1019">
        <v>67</v>
      </c>
      <c r="B80" s="1020" t="s">
        <v>1116</v>
      </c>
      <c r="C80" s="1174" t="s">
        <v>1117</v>
      </c>
      <c r="D80" s="1174"/>
      <c r="E80" s="1022" t="s">
        <v>998</v>
      </c>
      <c r="F80" s="1023">
        <v>1</v>
      </c>
      <c r="G80" s="1024">
        <v>5398.5</v>
      </c>
      <c r="H80" s="1025" t="s">
        <v>974</v>
      </c>
      <c r="I80" s="1025" t="s">
        <v>999</v>
      </c>
      <c r="J80" s="1025" t="s">
        <v>974</v>
      </c>
      <c r="K80" s="1025">
        <v>5398.5</v>
      </c>
      <c r="L80" s="1023">
        <v>1</v>
      </c>
      <c r="M80" s="1024">
        <f t="shared" si="1"/>
        <v>0</v>
      </c>
    </row>
    <row r="81" spans="1:13" ht="12.75">
      <c r="A81" s="1019">
        <v>68</v>
      </c>
      <c r="B81" s="1020" t="s">
        <v>1118</v>
      </c>
      <c r="C81" s="1174" t="s">
        <v>1117</v>
      </c>
      <c r="D81" s="1174"/>
      <c r="E81" s="1022" t="s">
        <v>998</v>
      </c>
      <c r="F81" s="1023">
        <v>1</v>
      </c>
      <c r="G81" s="1024">
        <v>5398.5</v>
      </c>
      <c r="H81" s="1025" t="s">
        <v>974</v>
      </c>
      <c r="I81" s="1025" t="s">
        <v>999</v>
      </c>
      <c r="J81" s="1025" t="s">
        <v>974</v>
      </c>
      <c r="K81" s="1025">
        <v>5398.5</v>
      </c>
      <c r="L81" s="1023">
        <v>1</v>
      </c>
      <c r="M81" s="1024">
        <f t="shared" si="1"/>
        <v>0</v>
      </c>
    </row>
    <row r="82" spans="1:13" ht="12.75">
      <c r="A82" s="1019">
        <v>69</v>
      </c>
      <c r="B82" s="1020" t="s">
        <v>1119</v>
      </c>
      <c r="C82" s="1174" t="s">
        <v>1120</v>
      </c>
      <c r="D82" s="1174"/>
      <c r="E82" s="1022" t="s">
        <v>998</v>
      </c>
      <c r="F82" s="1023">
        <v>1</v>
      </c>
      <c r="G82" s="1024">
        <v>7573.5</v>
      </c>
      <c r="H82" s="1025" t="s">
        <v>974</v>
      </c>
      <c r="I82" s="1025" t="s">
        <v>999</v>
      </c>
      <c r="J82" s="1025" t="s">
        <v>974</v>
      </c>
      <c r="K82" s="1025">
        <v>7573.5</v>
      </c>
      <c r="L82" s="1023">
        <v>1</v>
      </c>
      <c r="M82" s="1024">
        <f t="shared" si="1"/>
        <v>0</v>
      </c>
    </row>
    <row r="83" spans="1:13" ht="12.75">
      <c r="A83" s="1019">
        <v>70</v>
      </c>
      <c r="B83" s="1020" t="s">
        <v>1121</v>
      </c>
      <c r="C83" s="1174" t="s">
        <v>1122</v>
      </c>
      <c r="D83" s="1174"/>
      <c r="E83" s="1022" t="s">
        <v>998</v>
      </c>
      <c r="F83" s="1023">
        <v>1</v>
      </c>
      <c r="G83" s="1024">
        <v>7573.5</v>
      </c>
      <c r="H83" s="1025" t="s">
        <v>974</v>
      </c>
      <c r="I83" s="1025" t="s">
        <v>999</v>
      </c>
      <c r="J83" s="1025" t="s">
        <v>974</v>
      </c>
      <c r="K83" s="1025">
        <v>7573.5</v>
      </c>
      <c r="L83" s="1023">
        <v>1</v>
      </c>
      <c r="M83" s="1024">
        <f t="shared" si="1"/>
        <v>0</v>
      </c>
    </row>
    <row r="84" spans="1:13" ht="12.75">
      <c r="A84" s="1019">
        <v>71</v>
      </c>
      <c r="B84" s="1020" t="s">
        <v>1123</v>
      </c>
      <c r="C84" s="1174" t="s">
        <v>1124</v>
      </c>
      <c r="D84" s="1174"/>
      <c r="E84" s="1022" t="s">
        <v>998</v>
      </c>
      <c r="F84" s="1023">
        <v>1</v>
      </c>
      <c r="G84" s="1024">
        <v>3000</v>
      </c>
      <c r="H84" s="1025" t="s">
        <v>974</v>
      </c>
      <c r="I84" s="1025" t="s">
        <v>999</v>
      </c>
      <c r="J84" s="1025" t="s">
        <v>974</v>
      </c>
      <c r="K84" s="1025">
        <v>3000</v>
      </c>
      <c r="L84" s="1023">
        <v>1</v>
      </c>
      <c r="M84" s="1024">
        <f t="shared" si="1"/>
        <v>0</v>
      </c>
    </row>
    <row r="85" spans="1:13" ht="12.75">
      <c r="A85" s="1019">
        <v>72</v>
      </c>
      <c r="B85" s="1020" t="s">
        <v>1125</v>
      </c>
      <c r="C85" s="1174" t="s">
        <v>1126</v>
      </c>
      <c r="D85" s="1174"/>
      <c r="E85" s="1022" t="s">
        <v>998</v>
      </c>
      <c r="F85" s="1023">
        <v>1</v>
      </c>
      <c r="G85" s="1024">
        <v>1500</v>
      </c>
      <c r="H85" s="1025" t="s">
        <v>974</v>
      </c>
      <c r="I85" s="1025" t="s">
        <v>999</v>
      </c>
      <c r="J85" s="1025" t="s">
        <v>974</v>
      </c>
      <c r="K85" s="1025">
        <v>0</v>
      </c>
      <c r="L85" s="1023">
        <v>1</v>
      </c>
      <c r="M85" s="1024">
        <v>1500</v>
      </c>
    </row>
    <row r="86" spans="1:13" ht="12.75">
      <c r="A86" s="1019">
        <v>73</v>
      </c>
      <c r="B86" s="1020" t="s">
        <v>1127</v>
      </c>
      <c r="C86" s="1174" t="s">
        <v>1128</v>
      </c>
      <c r="D86" s="1174"/>
      <c r="E86" s="1022" t="s">
        <v>998</v>
      </c>
      <c r="F86" s="1023">
        <v>1</v>
      </c>
      <c r="G86" s="1024">
        <v>2500</v>
      </c>
      <c r="H86" s="1025" t="s">
        <v>974</v>
      </c>
      <c r="I86" s="1025" t="s">
        <v>999</v>
      </c>
      <c r="J86" s="1025" t="s">
        <v>974</v>
      </c>
      <c r="K86" s="1025">
        <v>0</v>
      </c>
      <c r="L86" s="1023">
        <v>1</v>
      </c>
      <c r="M86" s="1024">
        <v>2500</v>
      </c>
    </row>
    <row r="87" spans="1:13" ht="12.75">
      <c r="A87" s="1019">
        <v>74</v>
      </c>
      <c r="B87" s="1020" t="s">
        <v>1129</v>
      </c>
      <c r="C87" s="1174" t="s">
        <v>1128</v>
      </c>
      <c r="D87" s="1174"/>
      <c r="E87" s="1022" t="s">
        <v>998</v>
      </c>
      <c r="F87" s="1023">
        <v>1</v>
      </c>
      <c r="G87" s="1024">
        <v>2500</v>
      </c>
      <c r="H87" s="1025" t="s">
        <v>974</v>
      </c>
      <c r="I87" s="1025" t="s">
        <v>999</v>
      </c>
      <c r="J87" s="1025" t="s">
        <v>974</v>
      </c>
      <c r="K87" s="1025">
        <v>0</v>
      </c>
      <c r="L87" s="1023">
        <v>1</v>
      </c>
      <c r="M87" s="1024">
        <v>2500</v>
      </c>
    </row>
    <row r="88" spans="1:13" ht="12.75">
      <c r="A88" s="1019">
        <v>75</v>
      </c>
      <c r="B88" s="1020" t="s">
        <v>1130</v>
      </c>
      <c r="C88" s="1174" t="s">
        <v>1131</v>
      </c>
      <c r="D88" s="1174"/>
      <c r="E88" s="1022" t="s">
        <v>998</v>
      </c>
      <c r="F88" s="1023">
        <v>1</v>
      </c>
      <c r="G88" s="1024">
        <v>5430</v>
      </c>
      <c r="H88" s="1025" t="s">
        <v>974</v>
      </c>
      <c r="I88" s="1025" t="s">
        <v>999</v>
      </c>
      <c r="J88" s="1025" t="s">
        <v>974</v>
      </c>
      <c r="K88" s="1025">
        <v>0</v>
      </c>
      <c r="L88" s="1023">
        <v>1</v>
      </c>
      <c r="M88" s="1024">
        <v>5430</v>
      </c>
    </row>
    <row r="89" spans="1:13" ht="12.75">
      <c r="A89" s="1019">
        <v>76</v>
      </c>
      <c r="B89" s="1020" t="s">
        <v>1132</v>
      </c>
      <c r="C89" s="1174" t="s">
        <v>1133</v>
      </c>
      <c r="D89" s="1174"/>
      <c r="E89" s="1022" t="s">
        <v>998</v>
      </c>
      <c r="F89" s="1023">
        <v>1</v>
      </c>
      <c r="G89" s="1024">
        <v>13500</v>
      </c>
      <c r="H89" s="1025" t="s">
        <v>974</v>
      </c>
      <c r="I89" s="1025" t="s">
        <v>999</v>
      </c>
      <c r="J89" s="1025" t="s">
        <v>974</v>
      </c>
      <c r="K89" s="1025">
        <v>0</v>
      </c>
      <c r="L89" s="1023">
        <v>1</v>
      </c>
      <c r="M89" s="1024">
        <v>13500</v>
      </c>
    </row>
    <row r="90" spans="1:13" ht="12.75">
      <c r="A90" s="1019">
        <v>77</v>
      </c>
      <c r="B90" s="1020" t="s">
        <v>1134</v>
      </c>
      <c r="C90" s="1174" t="s">
        <v>1135</v>
      </c>
      <c r="D90" s="1174"/>
      <c r="E90" s="1022" t="s">
        <v>998</v>
      </c>
      <c r="F90" s="1023">
        <v>1</v>
      </c>
      <c r="G90" s="1024">
        <v>5200</v>
      </c>
      <c r="H90" s="1025" t="s">
        <v>974</v>
      </c>
      <c r="I90" s="1025" t="s">
        <v>999</v>
      </c>
      <c r="J90" s="1025" t="s">
        <v>974</v>
      </c>
      <c r="K90" s="1025">
        <v>0</v>
      </c>
      <c r="L90" s="1023">
        <v>1</v>
      </c>
      <c r="M90" s="1024">
        <v>5200</v>
      </c>
    </row>
    <row r="91" spans="1:13" ht="12.75">
      <c r="A91" s="1019">
        <v>78</v>
      </c>
      <c r="B91" s="1020" t="s">
        <v>1136</v>
      </c>
      <c r="C91" s="1174" t="s">
        <v>1137</v>
      </c>
      <c r="D91" s="1174"/>
      <c r="E91" s="1022" t="s">
        <v>998</v>
      </c>
      <c r="F91" s="1023">
        <v>1</v>
      </c>
      <c r="G91" s="1024">
        <v>13100</v>
      </c>
      <c r="H91" s="1025" t="s">
        <v>974</v>
      </c>
      <c r="I91" s="1025" t="s">
        <v>999</v>
      </c>
      <c r="J91" s="1025" t="s">
        <v>974</v>
      </c>
      <c r="K91" s="1025">
        <v>0</v>
      </c>
      <c r="L91" s="1023">
        <v>1</v>
      </c>
      <c r="M91" s="1024">
        <v>13100</v>
      </c>
    </row>
    <row r="92" spans="1:13" ht="12.75">
      <c r="A92" s="1019">
        <v>79</v>
      </c>
      <c r="B92" s="1020" t="s">
        <v>1138</v>
      </c>
      <c r="C92" s="1174" t="s">
        <v>1139</v>
      </c>
      <c r="D92" s="1174"/>
      <c r="E92" s="1022" t="s">
        <v>998</v>
      </c>
      <c r="F92" s="1023">
        <v>1</v>
      </c>
      <c r="G92" s="1024">
        <v>7000</v>
      </c>
      <c r="H92" s="1025" t="s">
        <v>974</v>
      </c>
      <c r="I92" s="1025" t="s">
        <v>999</v>
      </c>
      <c r="J92" s="1025" t="s">
        <v>974</v>
      </c>
      <c r="K92" s="1025">
        <v>0</v>
      </c>
      <c r="L92" s="1023">
        <v>1</v>
      </c>
      <c r="M92" s="1024">
        <v>7000</v>
      </c>
    </row>
    <row r="93" spans="1:13" ht="12.75">
      <c r="A93" s="1019">
        <v>80</v>
      </c>
      <c r="B93" s="1020" t="s">
        <v>1140</v>
      </c>
      <c r="C93" s="1174" t="s">
        <v>1141</v>
      </c>
      <c r="D93" s="1174"/>
      <c r="E93" s="1022" t="s">
        <v>998</v>
      </c>
      <c r="F93" s="1023">
        <v>1</v>
      </c>
      <c r="G93" s="1024">
        <v>5800</v>
      </c>
      <c r="H93" s="1025" t="s">
        <v>974</v>
      </c>
      <c r="I93" s="1025" t="s">
        <v>999</v>
      </c>
      <c r="J93" s="1025" t="s">
        <v>974</v>
      </c>
      <c r="K93" s="1025">
        <v>0</v>
      </c>
      <c r="L93" s="1023">
        <v>1</v>
      </c>
      <c r="M93" s="1024">
        <v>5800</v>
      </c>
    </row>
    <row r="94" spans="1:13" ht="12.75">
      <c r="A94" s="1019">
        <v>81</v>
      </c>
      <c r="B94" s="1020" t="s">
        <v>1142</v>
      </c>
      <c r="C94" s="1174" t="s">
        <v>1126</v>
      </c>
      <c r="D94" s="1174"/>
      <c r="E94" s="1022" t="s">
        <v>998</v>
      </c>
      <c r="F94" s="1023">
        <v>1</v>
      </c>
      <c r="G94" s="1024">
        <v>1500</v>
      </c>
      <c r="H94" s="1025" t="s">
        <v>974</v>
      </c>
      <c r="I94" s="1025" t="s">
        <v>999</v>
      </c>
      <c r="J94" s="1025" t="s">
        <v>974</v>
      </c>
      <c r="K94" s="1025">
        <v>0</v>
      </c>
      <c r="L94" s="1023">
        <v>1</v>
      </c>
      <c r="M94" s="1024">
        <v>1500</v>
      </c>
    </row>
    <row r="95" spans="1:13" ht="12.75">
      <c r="A95" s="1019">
        <v>82</v>
      </c>
      <c r="B95" s="1020" t="s">
        <v>1143</v>
      </c>
      <c r="C95" s="1174" t="s">
        <v>1128</v>
      </c>
      <c r="D95" s="1174"/>
      <c r="E95" s="1022" t="s">
        <v>998</v>
      </c>
      <c r="F95" s="1023">
        <v>1</v>
      </c>
      <c r="G95" s="1024">
        <v>2500</v>
      </c>
      <c r="H95" s="1025" t="s">
        <v>974</v>
      </c>
      <c r="I95" s="1025" t="s">
        <v>999</v>
      </c>
      <c r="J95" s="1025" t="s">
        <v>974</v>
      </c>
      <c r="K95" s="1025">
        <v>0</v>
      </c>
      <c r="L95" s="1023">
        <v>1</v>
      </c>
      <c r="M95" s="1024">
        <v>2500</v>
      </c>
    </row>
    <row r="96" spans="1:13" ht="12.75">
      <c r="A96" s="1019">
        <v>83</v>
      </c>
      <c r="B96" s="1020" t="s">
        <v>1144</v>
      </c>
      <c r="C96" s="1174" t="s">
        <v>1128</v>
      </c>
      <c r="D96" s="1174"/>
      <c r="E96" s="1022" t="s">
        <v>998</v>
      </c>
      <c r="F96" s="1023">
        <v>1</v>
      </c>
      <c r="G96" s="1024">
        <v>2500</v>
      </c>
      <c r="H96" s="1025" t="s">
        <v>974</v>
      </c>
      <c r="I96" s="1025" t="s">
        <v>999</v>
      </c>
      <c r="J96" s="1025" t="s">
        <v>974</v>
      </c>
      <c r="K96" s="1025">
        <v>0</v>
      </c>
      <c r="L96" s="1023">
        <v>1</v>
      </c>
      <c r="M96" s="1024">
        <v>2500</v>
      </c>
    </row>
    <row r="97" spans="1:13" ht="12.75">
      <c r="A97" s="1019">
        <v>84</v>
      </c>
      <c r="B97" s="1020" t="s">
        <v>1145</v>
      </c>
      <c r="C97" s="1174" t="s">
        <v>1146</v>
      </c>
      <c r="D97" s="1174"/>
      <c r="E97" s="1022" t="s">
        <v>998</v>
      </c>
      <c r="F97" s="1023">
        <v>1</v>
      </c>
      <c r="G97" s="1024">
        <v>9500</v>
      </c>
      <c r="H97" s="1025" t="s">
        <v>974</v>
      </c>
      <c r="I97" s="1025" t="s">
        <v>999</v>
      </c>
      <c r="J97" s="1025" t="s">
        <v>974</v>
      </c>
      <c r="K97" s="1025">
        <v>0</v>
      </c>
      <c r="L97" s="1023">
        <v>1</v>
      </c>
      <c r="M97" s="1024">
        <v>9500</v>
      </c>
    </row>
    <row r="98" spans="1:13" ht="12.75">
      <c r="A98" s="1019">
        <v>85</v>
      </c>
      <c r="B98" s="1020" t="s">
        <v>1147</v>
      </c>
      <c r="C98" s="1174" t="s">
        <v>1148</v>
      </c>
      <c r="D98" s="1174"/>
      <c r="E98" s="1022" t="s">
        <v>998</v>
      </c>
      <c r="F98" s="1023">
        <v>1</v>
      </c>
      <c r="G98" s="1024">
        <v>19100</v>
      </c>
      <c r="H98" s="1025" t="s">
        <v>974</v>
      </c>
      <c r="I98" s="1025" t="s">
        <v>999</v>
      </c>
      <c r="J98" s="1025" t="s">
        <v>974</v>
      </c>
      <c r="K98" s="1025">
        <v>0</v>
      </c>
      <c r="L98" s="1023">
        <v>1</v>
      </c>
      <c r="M98" s="1024">
        <v>19100</v>
      </c>
    </row>
    <row r="99" spans="1:13" ht="12.75">
      <c r="A99" s="1019">
        <v>86</v>
      </c>
      <c r="B99" s="1020" t="s">
        <v>1149</v>
      </c>
      <c r="C99" s="1174" t="s">
        <v>1135</v>
      </c>
      <c r="D99" s="1174"/>
      <c r="E99" s="1022" t="s">
        <v>998</v>
      </c>
      <c r="F99" s="1023">
        <v>1</v>
      </c>
      <c r="G99" s="1024">
        <v>5200</v>
      </c>
      <c r="H99" s="1025" t="s">
        <v>974</v>
      </c>
      <c r="I99" s="1025" t="s">
        <v>999</v>
      </c>
      <c r="J99" s="1025" t="s">
        <v>974</v>
      </c>
      <c r="K99" s="1025">
        <v>0</v>
      </c>
      <c r="L99" s="1023">
        <v>1</v>
      </c>
      <c r="M99" s="1024">
        <v>5200</v>
      </c>
    </row>
    <row r="100" spans="1:13" ht="12.75">
      <c r="A100" s="1019">
        <v>87</v>
      </c>
      <c r="B100" s="1020" t="s">
        <v>1150</v>
      </c>
      <c r="C100" s="1174" t="s">
        <v>1151</v>
      </c>
      <c r="D100" s="1174"/>
      <c r="E100" s="1022" t="s">
        <v>998</v>
      </c>
      <c r="F100" s="1023">
        <v>1</v>
      </c>
      <c r="G100" s="1024">
        <v>13400</v>
      </c>
      <c r="H100" s="1025" t="s">
        <v>974</v>
      </c>
      <c r="I100" s="1025" t="s">
        <v>999</v>
      </c>
      <c r="J100" s="1025" t="s">
        <v>974</v>
      </c>
      <c r="K100" s="1025">
        <v>0</v>
      </c>
      <c r="L100" s="1023">
        <v>1</v>
      </c>
      <c r="M100" s="1024">
        <v>13400</v>
      </c>
    </row>
    <row r="101" spans="1:13" ht="12.75">
      <c r="A101" s="1021">
        <v>88</v>
      </c>
      <c r="B101" s="5"/>
      <c r="C101" s="1174" t="s">
        <v>1152</v>
      </c>
      <c r="D101" s="1174"/>
      <c r="E101" s="1022" t="s">
        <v>998</v>
      </c>
      <c r="F101" s="1023">
        <v>1</v>
      </c>
      <c r="G101" s="1024">
        <v>1293500</v>
      </c>
      <c r="H101" s="1021"/>
      <c r="I101" s="1021"/>
      <c r="J101" s="1021"/>
      <c r="K101" s="1025">
        <v>0</v>
      </c>
      <c r="L101" s="1023">
        <v>1</v>
      </c>
      <c r="M101" s="1024">
        <f>G101-K101</f>
        <v>1293500</v>
      </c>
    </row>
    <row r="102" spans="1:13" ht="12.75">
      <c r="A102" s="1021">
        <v>89</v>
      </c>
      <c r="B102" s="5"/>
      <c r="C102" s="1174" t="s">
        <v>1153</v>
      </c>
      <c r="D102" s="1174"/>
      <c r="E102" s="1022" t="s">
        <v>998</v>
      </c>
      <c r="F102" s="1023">
        <v>1</v>
      </c>
      <c r="G102" s="1024">
        <v>770000</v>
      </c>
      <c r="H102" s="1021"/>
      <c r="I102" s="1021"/>
      <c r="J102" s="1021"/>
      <c r="K102" s="1025">
        <v>0</v>
      </c>
      <c r="L102" s="1023">
        <v>1</v>
      </c>
      <c r="M102" s="1024">
        <f>G102-K102</f>
        <v>770000</v>
      </c>
    </row>
    <row r="103" spans="1:13" ht="12.75">
      <c r="A103" s="1021">
        <v>90</v>
      </c>
      <c r="B103" s="5"/>
      <c r="C103" s="1174" t="s">
        <v>1154</v>
      </c>
      <c r="D103" s="1174"/>
      <c r="E103" s="1022" t="s">
        <v>998</v>
      </c>
      <c r="F103" s="1023">
        <v>1</v>
      </c>
      <c r="G103" s="1024">
        <v>911022</v>
      </c>
      <c r="H103" s="1021"/>
      <c r="I103" s="1021"/>
      <c r="J103" s="1021"/>
      <c r="K103" s="1025">
        <v>0</v>
      </c>
      <c r="L103" s="1023">
        <v>1</v>
      </c>
      <c r="M103" s="1024">
        <f>G103-K103</f>
        <v>911022</v>
      </c>
    </row>
    <row r="104" spans="1:13" ht="12.75">
      <c r="A104" s="1021">
        <v>91</v>
      </c>
      <c r="B104" s="5"/>
      <c r="C104" s="1174" t="s">
        <v>1154</v>
      </c>
      <c r="D104" s="1174"/>
      <c r="E104" s="1022" t="s">
        <v>998</v>
      </c>
      <c r="F104" s="1023">
        <v>1</v>
      </c>
      <c r="G104" s="1024">
        <v>911022</v>
      </c>
      <c r="H104" s="1021"/>
      <c r="I104" s="1021"/>
      <c r="J104" s="1021"/>
      <c r="K104" s="1025">
        <v>0</v>
      </c>
      <c r="L104" s="1023">
        <v>1</v>
      </c>
      <c r="M104" s="1024">
        <f>G104-K104</f>
        <v>911022</v>
      </c>
    </row>
    <row r="105" spans="1:13" ht="12.75">
      <c r="A105" s="1021">
        <v>92</v>
      </c>
      <c r="B105" s="5"/>
      <c r="C105" s="1174" t="s">
        <v>1155</v>
      </c>
      <c r="D105" s="1174"/>
      <c r="E105" s="1022" t="s">
        <v>998</v>
      </c>
      <c r="F105" s="1023">
        <v>1</v>
      </c>
      <c r="G105" s="1024">
        <v>780000</v>
      </c>
      <c r="H105" s="1021"/>
      <c r="I105" s="1021"/>
      <c r="J105" s="1021"/>
      <c r="K105" s="1025">
        <v>0</v>
      </c>
      <c r="L105" s="1023">
        <v>1</v>
      </c>
      <c r="M105" s="1024">
        <f>G105-K105</f>
        <v>780000</v>
      </c>
    </row>
    <row r="106" spans="1:13" ht="12.75">
      <c r="A106" s="5"/>
      <c r="B106" s="5"/>
      <c r="C106" s="5"/>
      <c r="D106" s="5" t="s">
        <v>634</v>
      </c>
      <c r="E106" s="1016"/>
      <c r="F106" s="1023">
        <f>SUM(F63:F105)</f>
        <v>72</v>
      </c>
      <c r="G106" s="1024">
        <f>SUM(G14:G105)</f>
        <v>54449268.77999999</v>
      </c>
      <c r="H106" s="1025" t="s">
        <v>974</v>
      </c>
      <c r="I106" s="1025" t="s">
        <v>999</v>
      </c>
      <c r="J106" s="1025" t="s">
        <v>974</v>
      </c>
      <c r="K106" s="1026">
        <f>SUM(K14:K105)</f>
        <v>7053058.750000001</v>
      </c>
      <c r="L106" s="1023">
        <f>SUM(L63:L105)</f>
        <v>72</v>
      </c>
      <c r="M106" s="1024">
        <f>SUM(M14:M105)</f>
        <v>47396210.03000001</v>
      </c>
    </row>
    <row r="107" spans="1:1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2.75">
      <c r="A109" s="5"/>
      <c r="B109" s="5"/>
      <c r="C109" s="5" t="s">
        <v>687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</row>
  </sheetData>
  <sheetProtection/>
  <mergeCells count="108">
    <mergeCell ref="C101:D101"/>
    <mergeCell ref="C102:D102"/>
    <mergeCell ref="C103:D103"/>
    <mergeCell ref="C104:D104"/>
    <mergeCell ref="C105:D105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A13:D13"/>
    <mergeCell ref="C14:D14"/>
    <mergeCell ref="C15:D15"/>
    <mergeCell ref="C16:D16"/>
    <mergeCell ref="C9:D9"/>
    <mergeCell ref="F9:G10"/>
    <mergeCell ref="H9:K9"/>
    <mergeCell ref="L9:M10"/>
    <mergeCell ref="C10:D10"/>
    <mergeCell ref="H10:I10"/>
    <mergeCell ref="J10:K10"/>
    <mergeCell ref="K2:L2"/>
    <mergeCell ref="D3:L3"/>
    <mergeCell ref="D4:L4"/>
    <mergeCell ref="D5:L5"/>
    <mergeCell ref="A7:M7"/>
    <mergeCell ref="E8:J8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S3" sqref="S3"/>
    </sheetView>
  </sheetViews>
  <sheetFormatPr defaultColWidth="9.00390625" defaultRowHeight="12.75"/>
  <cols>
    <col min="1" max="1" width="18.25390625" style="0" customWidth="1"/>
    <col min="2" max="2" width="8.375" style="0" customWidth="1"/>
    <col min="3" max="3" width="5.875" style="0" customWidth="1"/>
    <col min="4" max="4" width="6.375" style="0" customWidth="1"/>
    <col min="5" max="5" width="8.00390625" style="0" customWidth="1"/>
    <col min="9" max="9" width="8.625" style="0" customWidth="1"/>
    <col min="10" max="10" width="7.25390625" style="0" customWidth="1"/>
    <col min="11" max="11" width="7.625" style="0" customWidth="1"/>
    <col min="12" max="12" width="6.625" style="0" customWidth="1"/>
    <col min="13" max="13" width="9.00390625" style="0" customWidth="1"/>
    <col min="14" max="15" width="9.125" style="0" hidden="1" customWidth="1"/>
    <col min="16" max="16" width="8.25390625" style="0" hidden="1" customWidth="1"/>
    <col min="17" max="17" width="8.125" style="0" hidden="1" customWidth="1"/>
    <col min="18" max="18" width="7.125" style="0" customWidth="1"/>
    <col min="21" max="21" width="8.00390625" style="0" customWidth="1"/>
    <col min="22" max="22" width="6.125" style="0" hidden="1" customWidth="1"/>
    <col min="23" max="23" width="6.75390625" style="0" customWidth="1"/>
  </cols>
  <sheetData>
    <row r="1" spans="1:23" ht="1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1:23" ht="1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27" t="s">
        <v>927</v>
      </c>
      <c r="T2" s="6"/>
      <c r="U2" s="127"/>
      <c r="V2" s="162"/>
      <c r="W2" s="162"/>
    </row>
    <row r="3" spans="1:23" ht="1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27" t="s">
        <v>546</v>
      </c>
      <c r="T3" s="4"/>
      <c r="U3" s="127"/>
      <c r="V3" s="162"/>
      <c r="W3" s="162"/>
    </row>
    <row r="4" spans="1:23" ht="6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27" t="s">
        <v>433</v>
      </c>
      <c r="T4" s="4"/>
      <c r="U4" s="127"/>
      <c r="V4" s="162"/>
      <c r="W4" s="162"/>
    </row>
    <row r="5" spans="1:23" ht="15" hidden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548" t="str">
        <f>'0100'!Q4</f>
        <v>от 5.03.2012 №5</v>
      </c>
      <c r="T5" s="547"/>
      <c r="U5" s="548"/>
      <c r="V5" s="162"/>
      <c r="W5" s="162"/>
    </row>
    <row r="6" spans="1:23" ht="15" hidden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15" hidden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</row>
    <row r="8" spans="1:23" ht="12.75" hidden="1">
      <c r="A8" s="1175" t="s">
        <v>1178</v>
      </c>
      <c r="B8" s="1175"/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  <c r="S8" s="1175"/>
      <c r="T8" s="1175"/>
      <c r="U8" s="1175"/>
      <c r="V8" s="1175"/>
      <c r="W8" s="1175"/>
    </row>
    <row r="9" spans="1:23" ht="15" hidden="1">
      <c r="A9" s="1005"/>
      <c r="B9" s="1005"/>
      <c r="C9" s="1005"/>
      <c r="D9" s="1005"/>
      <c r="E9" s="1005"/>
      <c r="F9" s="1005"/>
      <c r="G9" s="1005"/>
      <c r="H9" s="1005"/>
      <c r="I9" s="1005"/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</row>
    <row r="10" spans="1:23" ht="12.75" hidden="1">
      <c r="A10" s="1030"/>
      <c r="B10" s="1030">
        <v>210</v>
      </c>
      <c r="C10" s="1031">
        <v>211</v>
      </c>
      <c r="D10" s="1031">
        <v>212</v>
      </c>
      <c r="E10" s="1031">
        <v>213</v>
      </c>
      <c r="F10" s="1032">
        <v>220</v>
      </c>
      <c r="G10" s="1031">
        <v>221</v>
      </c>
      <c r="H10" s="1031">
        <v>222</v>
      </c>
      <c r="I10" s="1031">
        <v>223</v>
      </c>
      <c r="J10" s="1031">
        <v>224</v>
      </c>
      <c r="K10" s="1031">
        <v>225</v>
      </c>
      <c r="L10" s="1031">
        <v>226</v>
      </c>
      <c r="M10" s="1032">
        <v>231</v>
      </c>
      <c r="N10" s="1031">
        <v>241</v>
      </c>
      <c r="O10" s="1031">
        <v>242</v>
      </c>
      <c r="P10" s="1032">
        <v>260</v>
      </c>
      <c r="Q10" s="1031">
        <v>262</v>
      </c>
      <c r="R10" s="1032">
        <v>290</v>
      </c>
      <c r="S10" s="1032">
        <v>300</v>
      </c>
      <c r="T10" s="1031">
        <v>310</v>
      </c>
      <c r="U10" s="1031">
        <v>340</v>
      </c>
      <c r="V10" s="1032"/>
      <c r="W10" s="1032"/>
    </row>
    <row r="11" spans="1:23" ht="48.75" customHeight="1" hidden="1">
      <c r="A11" s="1033"/>
      <c r="B11" s="1034" t="s">
        <v>148</v>
      </c>
      <c r="C11" s="1035" t="s">
        <v>727</v>
      </c>
      <c r="D11" s="1035" t="s">
        <v>75</v>
      </c>
      <c r="E11" s="1035" t="s">
        <v>728</v>
      </c>
      <c r="F11" s="1036" t="s">
        <v>131</v>
      </c>
      <c r="G11" s="1035" t="s">
        <v>132</v>
      </c>
      <c r="H11" s="1035" t="s">
        <v>149</v>
      </c>
      <c r="I11" s="1035" t="s">
        <v>150</v>
      </c>
      <c r="J11" s="1035" t="s">
        <v>135</v>
      </c>
      <c r="K11" s="1035" t="s">
        <v>731</v>
      </c>
      <c r="L11" s="1035" t="s">
        <v>732</v>
      </c>
      <c r="M11" s="1036" t="s">
        <v>1179</v>
      </c>
      <c r="N11" s="1035" t="s">
        <v>153</v>
      </c>
      <c r="O11" s="1035" t="s">
        <v>154</v>
      </c>
      <c r="P11" s="1036" t="s">
        <v>155</v>
      </c>
      <c r="Q11" s="1035" t="s">
        <v>156</v>
      </c>
      <c r="R11" s="1036" t="s">
        <v>157</v>
      </c>
      <c r="S11" s="1036" t="s">
        <v>141</v>
      </c>
      <c r="T11" s="1035" t="s">
        <v>158</v>
      </c>
      <c r="U11" s="1035" t="s">
        <v>159</v>
      </c>
      <c r="V11" s="1037"/>
      <c r="W11" s="1038" t="s">
        <v>634</v>
      </c>
    </row>
    <row r="12" spans="1:23" ht="37.5" customHeight="1" hidden="1">
      <c r="A12" s="1038" t="s">
        <v>1180</v>
      </c>
      <c r="B12" s="1038"/>
      <c r="C12" s="1039"/>
      <c r="D12" s="1039"/>
      <c r="E12" s="1039"/>
      <c r="F12" s="1039"/>
      <c r="G12" s="1039"/>
      <c r="H12" s="1039"/>
      <c r="I12" s="1039"/>
      <c r="J12" s="1039"/>
      <c r="K12" s="1039"/>
      <c r="L12" s="1039"/>
      <c r="M12" s="1039"/>
      <c r="N12" s="1039"/>
      <c r="O12" s="1039"/>
      <c r="P12" s="1039"/>
      <c r="Q12" s="1039"/>
      <c r="R12" s="1039"/>
      <c r="S12" s="1039"/>
      <c r="T12" s="1039"/>
      <c r="U12" s="1039"/>
      <c r="V12" s="1039"/>
      <c r="W12" s="1039"/>
    </row>
    <row r="13" spans="1:23" ht="12.75" hidden="1">
      <c r="A13" s="1040" t="s">
        <v>1181</v>
      </c>
      <c r="B13" s="1040"/>
      <c r="C13" s="1041"/>
      <c r="D13" s="1041"/>
      <c r="E13" s="1041"/>
      <c r="F13" s="1041"/>
      <c r="G13" s="1041"/>
      <c r="H13" s="1041"/>
      <c r="I13" s="1041"/>
      <c r="J13" s="1041"/>
      <c r="K13" s="1041"/>
      <c r="L13" s="1041"/>
      <c r="M13" s="1041"/>
      <c r="N13" s="1041"/>
      <c r="O13" s="1041"/>
      <c r="P13" s="1041"/>
      <c r="Q13" s="1041"/>
      <c r="R13" s="1041"/>
      <c r="S13" s="1041"/>
      <c r="T13" s="1041"/>
      <c r="U13" s="1041"/>
      <c r="V13" s="1041"/>
      <c r="W13" s="1041"/>
    </row>
    <row r="14" spans="1:23" ht="12.75" hidden="1">
      <c r="A14" s="1042" t="s">
        <v>1183</v>
      </c>
      <c r="B14" s="1042"/>
      <c r="C14" s="1041"/>
      <c r="D14" s="1041"/>
      <c r="E14" s="1041"/>
      <c r="F14" s="1041"/>
      <c r="G14" s="1041"/>
      <c r="H14" s="1041"/>
      <c r="I14" s="1041"/>
      <c r="J14" s="1041"/>
      <c r="K14" s="1041"/>
      <c r="L14" s="1041"/>
      <c r="M14" s="1041"/>
      <c r="N14" s="1041"/>
      <c r="O14" s="1041"/>
      <c r="P14" s="1041"/>
      <c r="Q14" s="1041"/>
      <c r="R14" s="1041"/>
      <c r="S14" s="1041"/>
      <c r="T14" s="1041"/>
      <c r="U14" s="1041"/>
      <c r="V14" s="1041"/>
      <c r="W14" s="1041"/>
    </row>
    <row r="15" spans="1:23" ht="52.5" customHeight="1" hidden="1">
      <c r="A15" s="1043" t="s">
        <v>945</v>
      </c>
      <c r="B15" s="1044"/>
      <c r="C15" s="1044"/>
      <c r="D15" s="1044">
        <f>'свод бюджет'!D30</f>
        <v>0</v>
      </c>
      <c r="E15" s="1044"/>
      <c r="F15" s="1044"/>
      <c r="G15" s="1044"/>
      <c r="H15" s="1044">
        <f>'свод бюджет'!H30</f>
        <v>7</v>
      </c>
      <c r="I15" s="1044">
        <f>'свод бюджет'!I30</f>
        <v>6.2</v>
      </c>
      <c r="J15" s="1045"/>
      <c r="K15" s="1046">
        <f>'свод бюджет'!K31</f>
        <v>0</v>
      </c>
      <c r="L15" s="1045"/>
      <c r="M15" s="1046">
        <v>216</v>
      </c>
      <c r="N15" s="1045"/>
      <c r="O15" s="1045"/>
      <c r="P15" s="1045"/>
      <c r="Q15" s="1045"/>
      <c r="R15" s="1046"/>
      <c r="S15" s="1046"/>
      <c r="T15" s="1046">
        <f>'свод бюджет'!W30</f>
        <v>0</v>
      </c>
      <c r="U15" s="1046"/>
      <c r="V15" s="1046"/>
      <c r="W15" s="1046">
        <f>M15</f>
        <v>216</v>
      </c>
    </row>
    <row r="16" spans="1:23" ht="12.75" hidden="1">
      <c r="A16" s="1047" t="s">
        <v>1182</v>
      </c>
      <c r="B16" s="1048">
        <f>SUM(B15)</f>
        <v>0</v>
      </c>
      <c r="C16" s="1048">
        <f aca="true" t="shared" si="0" ref="C16:W16">SUM(C15)</f>
        <v>0</v>
      </c>
      <c r="D16" s="1048">
        <f t="shared" si="0"/>
        <v>0</v>
      </c>
      <c r="E16" s="1048">
        <f t="shared" si="0"/>
        <v>0</v>
      </c>
      <c r="F16" s="1048">
        <f t="shared" si="0"/>
        <v>0</v>
      </c>
      <c r="G16" s="1048">
        <f t="shared" si="0"/>
        <v>0</v>
      </c>
      <c r="H16" s="1048">
        <f t="shared" si="0"/>
        <v>7</v>
      </c>
      <c r="I16" s="1048">
        <f t="shared" si="0"/>
        <v>6.2</v>
      </c>
      <c r="J16" s="1048">
        <f t="shared" si="0"/>
        <v>0</v>
      </c>
      <c r="K16" s="1048">
        <f t="shared" si="0"/>
        <v>0</v>
      </c>
      <c r="L16" s="1048">
        <f t="shared" si="0"/>
        <v>0</v>
      </c>
      <c r="M16" s="1048">
        <f t="shared" si="0"/>
        <v>216</v>
      </c>
      <c r="N16" s="1048">
        <f t="shared" si="0"/>
        <v>0</v>
      </c>
      <c r="O16" s="1048">
        <f t="shared" si="0"/>
        <v>0</v>
      </c>
      <c r="P16" s="1048">
        <f t="shared" si="0"/>
        <v>0</v>
      </c>
      <c r="Q16" s="1048">
        <f t="shared" si="0"/>
        <v>0</v>
      </c>
      <c r="R16" s="1048">
        <f t="shared" si="0"/>
        <v>0</v>
      </c>
      <c r="S16" s="1048">
        <f t="shared" si="0"/>
        <v>0</v>
      </c>
      <c r="T16" s="1048">
        <f t="shared" si="0"/>
        <v>0</v>
      </c>
      <c r="U16" s="1048">
        <f t="shared" si="0"/>
        <v>0</v>
      </c>
      <c r="V16" s="1048">
        <f t="shared" si="0"/>
        <v>0</v>
      </c>
      <c r="W16" s="1048">
        <f t="shared" si="0"/>
        <v>216</v>
      </c>
    </row>
    <row r="17" spans="1:23" ht="12.75">
      <c r="A17" s="2"/>
      <c r="B17" s="182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</row>
    <row r="18" spans="1:2" ht="12.75">
      <c r="A18" s="2"/>
      <c r="B18" s="2"/>
    </row>
    <row r="19" spans="1:5" ht="12.75">
      <c r="A19" s="2"/>
      <c r="B19" s="2"/>
      <c r="E19" t="s">
        <v>687</v>
      </c>
    </row>
  </sheetData>
  <sheetProtection/>
  <mergeCells count="1">
    <mergeCell ref="A8:W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view="pageBreakPreview" zoomScale="60" zoomScalePageLayoutView="0" workbookViewId="0" topLeftCell="B13">
      <selection activeCell="E30" sqref="E30"/>
    </sheetView>
  </sheetViews>
  <sheetFormatPr defaultColWidth="9.00390625" defaultRowHeight="12.75"/>
  <cols>
    <col min="1" max="1" width="14.25390625" style="50" hidden="1" customWidth="1"/>
    <col min="2" max="2" width="7.125" style="50" customWidth="1"/>
    <col min="3" max="3" width="77.875" style="50" customWidth="1"/>
    <col min="4" max="4" width="44.00390625" style="56" customWidth="1"/>
    <col min="5" max="5" width="20.00390625" style="50" customWidth="1"/>
    <col min="6" max="6" width="14.00390625" style="50" bestFit="1" customWidth="1"/>
    <col min="7" max="7" width="9.125" style="50" customWidth="1"/>
    <col min="8" max="8" width="13.125" style="50" bestFit="1" customWidth="1"/>
    <col min="9" max="9" width="9.125" style="50" customWidth="1"/>
    <col min="10" max="10" width="11.375" style="50" bestFit="1" customWidth="1"/>
    <col min="11" max="16384" width="9.125" style="50" customWidth="1"/>
  </cols>
  <sheetData>
    <row r="1" spans="3:5" ht="18.75">
      <c r="C1" s="51"/>
      <c r="D1" s="808" t="s">
        <v>918</v>
      </c>
      <c r="E1" s="52"/>
    </row>
    <row r="2" spans="3:5" ht="18.75">
      <c r="C2" s="53"/>
      <c r="D2" s="809" t="s">
        <v>434</v>
      </c>
      <c r="E2" s="449"/>
    </row>
    <row r="3" spans="3:5" ht="18.75" hidden="1">
      <c r="C3" s="53"/>
      <c r="D3" s="808" t="s">
        <v>521</v>
      </c>
      <c r="E3" s="810"/>
    </row>
    <row r="4" spans="3:5" ht="18.75" hidden="1">
      <c r="C4" s="53"/>
      <c r="D4" s="808" t="s">
        <v>433</v>
      </c>
      <c r="E4" s="810"/>
    </row>
    <row r="5" spans="3:5" ht="18">
      <c r="C5" s="54"/>
      <c r="D5" s="811" t="s">
        <v>1225</v>
      </c>
      <c r="E5" s="450"/>
    </row>
    <row r="6" ht="18">
      <c r="D6" s="812" t="str">
        <f>доходы!B3</f>
        <v>от 5.03.2012 №5</v>
      </c>
    </row>
    <row r="7" spans="2:3" ht="42.75" customHeight="1">
      <c r="B7" s="55" t="s">
        <v>688</v>
      </c>
      <c r="C7" s="55"/>
    </row>
    <row r="8" spans="2:3" ht="18.75" customHeight="1">
      <c r="B8" s="1141" t="s">
        <v>1274</v>
      </c>
      <c r="C8" s="1141"/>
    </row>
    <row r="9" spans="2:3" ht="18.75" customHeight="1">
      <c r="B9" s="57"/>
      <c r="C9" s="57"/>
    </row>
    <row r="10" spans="1:6" ht="57.75" customHeight="1">
      <c r="A10" s="58" t="s">
        <v>689</v>
      </c>
      <c r="B10" s="813" t="s">
        <v>689</v>
      </c>
      <c r="C10" s="58" t="s">
        <v>695</v>
      </c>
      <c r="D10" s="58" t="s">
        <v>696</v>
      </c>
      <c r="E10" s="59" t="s">
        <v>697</v>
      </c>
      <c r="F10" s="814"/>
    </row>
    <row r="11" spans="1:6" ht="37.5">
      <c r="A11" s="60"/>
      <c r="B11" s="60"/>
      <c r="C11" s="58" t="s">
        <v>698</v>
      </c>
      <c r="D11" s="58" t="s">
        <v>437</v>
      </c>
      <c r="E11" s="1074">
        <f>E23+E15+E18+E17</f>
        <v>106</v>
      </c>
      <c r="F11" s="815"/>
    </row>
    <row r="12" spans="1:6" ht="44.25" customHeight="1">
      <c r="A12" s="61" t="s">
        <v>699</v>
      </c>
      <c r="B12" s="61"/>
      <c r="C12" s="62" t="s">
        <v>345</v>
      </c>
      <c r="D12" s="58" t="s">
        <v>346</v>
      </c>
      <c r="E12" s="816">
        <f>E13</f>
        <v>106</v>
      </c>
      <c r="F12" s="814"/>
    </row>
    <row r="13" spans="1:10" ht="45" customHeight="1">
      <c r="A13" s="63" t="s">
        <v>700</v>
      </c>
      <c r="B13" s="63"/>
      <c r="C13" s="75" t="s">
        <v>347</v>
      </c>
      <c r="D13" s="64" t="s">
        <v>438</v>
      </c>
      <c r="E13" s="816">
        <f>E14</f>
        <v>106</v>
      </c>
      <c r="F13" s="814"/>
      <c r="J13" s="817"/>
    </row>
    <row r="14" spans="1:6" ht="37.5">
      <c r="A14" s="63" t="s">
        <v>701</v>
      </c>
      <c r="B14" s="63"/>
      <c r="C14" s="75" t="s">
        <v>348</v>
      </c>
      <c r="D14" s="64" t="s">
        <v>438</v>
      </c>
      <c r="E14" s="816">
        <f>E15</f>
        <v>106</v>
      </c>
      <c r="F14" s="814"/>
    </row>
    <row r="15" spans="1:6" ht="53.25" customHeight="1">
      <c r="A15" s="63" t="s">
        <v>702</v>
      </c>
      <c r="B15" s="63"/>
      <c r="C15" s="75" t="s">
        <v>349</v>
      </c>
      <c r="D15" s="63" t="s">
        <v>350</v>
      </c>
      <c r="E15" s="816">
        <v>106</v>
      </c>
      <c r="F15" s="818"/>
    </row>
    <row r="16" spans="1:6" ht="59.25" customHeight="1">
      <c r="A16" s="63" t="s">
        <v>704</v>
      </c>
      <c r="B16" s="63"/>
      <c r="C16" s="819" t="s">
        <v>351</v>
      </c>
      <c r="D16" s="68" t="s">
        <v>352</v>
      </c>
      <c r="E16" s="70"/>
      <c r="F16" s="814"/>
    </row>
    <row r="17" spans="1:6" ht="58.5">
      <c r="A17" s="63" t="s">
        <v>705</v>
      </c>
      <c r="B17" s="63"/>
      <c r="C17" s="819" t="s">
        <v>353</v>
      </c>
      <c r="D17" s="68" t="s">
        <v>354</v>
      </c>
      <c r="E17" s="69">
        <v>0</v>
      </c>
      <c r="F17" s="814"/>
    </row>
    <row r="18" spans="1:6" ht="48" customHeight="1">
      <c r="A18" s="63" t="s">
        <v>707</v>
      </c>
      <c r="B18" s="63"/>
      <c r="C18" s="820" t="s">
        <v>355</v>
      </c>
      <c r="D18" s="68" t="s">
        <v>504</v>
      </c>
      <c r="E18" s="67">
        <f>E21</f>
        <v>0</v>
      </c>
      <c r="F18" s="814"/>
    </row>
    <row r="19" spans="1:6" ht="51" customHeight="1">
      <c r="A19" s="63" t="s">
        <v>720</v>
      </c>
      <c r="B19" s="63"/>
      <c r="C19" s="72" t="s">
        <v>356</v>
      </c>
      <c r="D19" s="68" t="s">
        <v>357</v>
      </c>
      <c r="E19" s="67"/>
      <c r="F19" s="814"/>
    </row>
    <row r="20" spans="1:6" ht="38.25" customHeight="1">
      <c r="A20" s="63" t="s">
        <v>750</v>
      </c>
      <c r="B20" s="63"/>
      <c r="C20" s="72" t="s">
        <v>358</v>
      </c>
      <c r="D20" s="68" t="s">
        <v>505</v>
      </c>
      <c r="E20" s="65"/>
      <c r="F20" s="814"/>
    </row>
    <row r="21" spans="1:6" ht="56.25">
      <c r="A21" s="63"/>
      <c r="B21" s="63"/>
      <c r="C21" s="72" t="s">
        <v>359</v>
      </c>
      <c r="D21" s="68" t="s">
        <v>506</v>
      </c>
      <c r="E21" s="65">
        <v>0</v>
      </c>
      <c r="F21" s="814"/>
    </row>
    <row r="22" spans="1:6" ht="79.5" customHeight="1">
      <c r="A22" s="63" t="s">
        <v>751</v>
      </c>
      <c r="B22" s="63"/>
      <c r="C22" s="72" t="s">
        <v>360</v>
      </c>
      <c r="D22" s="68" t="s">
        <v>507</v>
      </c>
      <c r="E22" s="821">
        <v>0</v>
      </c>
      <c r="F22" s="814">
        <f>-1200</f>
        <v>-1200</v>
      </c>
    </row>
    <row r="23" spans="1:6" ht="38.25" customHeight="1">
      <c r="A23" s="63"/>
      <c r="B23" s="66"/>
      <c r="C23" s="74" t="s">
        <v>361</v>
      </c>
      <c r="D23" s="58" t="s">
        <v>375</v>
      </c>
      <c r="E23" s="855">
        <v>0</v>
      </c>
      <c r="F23" s="815">
        <f>F31+F27</f>
        <v>54542.270000000004</v>
      </c>
    </row>
    <row r="24" spans="1:6" ht="26.25" customHeight="1">
      <c r="A24" s="63"/>
      <c r="B24" s="63"/>
      <c r="C24" s="72" t="s">
        <v>362</v>
      </c>
      <c r="D24" s="64" t="s">
        <v>363</v>
      </c>
      <c r="E24" s="856">
        <f>E25</f>
        <v>-3567.72</v>
      </c>
      <c r="F24" s="814"/>
    </row>
    <row r="25" spans="1:6" ht="27" customHeight="1">
      <c r="A25" s="63"/>
      <c r="B25" s="63"/>
      <c r="C25" s="72" t="s">
        <v>364</v>
      </c>
      <c r="D25" s="64" t="s">
        <v>365</v>
      </c>
      <c r="E25" s="857">
        <v>-3567.72</v>
      </c>
      <c r="F25" s="814"/>
    </row>
    <row r="26" spans="1:6" ht="30" customHeight="1">
      <c r="A26" s="63"/>
      <c r="B26" s="63"/>
      <c r="C26" s="72" t="s">
        <v>364</v>
      </c>
      <c r="D26" s="64" t="s">
        <v>366</v>
      </c>
      <c r="E26" s="857">
        <v>-3567.72</v>
      </c>
      <c r="F26" s="814"/>
    </row>
    <row r="27" spans="1:8" ht="18.75">
      <c r="A27" s="63" t="s">
        <v>752</v>
      </c>
      <c r="B27" s="63"/>
      <c r="C27" s="72" t="s">
        <v>367</v>
      </c>
      <c r="D27" s="64" t="s">
        <v>508</v>
      </c>
      <c r="E27" s="857">
        <v>-3567.72</v>
      </c>
      <c r="F27" s="818">
        <f>26380.65+E15</f>
        <v>26486.65</v>
      </c>
      <c r="H27" s="817"/>
    </row>
    <row r="28" spans="1:6" ht="18.75">
      <c r="A28" s="63" t="s">
        <v>753</v>
      </c>
      <c r="B28" s="63"/>
      <c r="C28" s="72" t="s">
        <v>368</v>
      </c>
      <c r="D28" s="64" t="s">
        <v>369</v>
      </c>
      <c r="E28" s="856">
        <f>E29</f>
        <v>3693.72</v>
      </c>
      <c r="F28" s="814"/>
    </row>
    <row r="29" spans="1:6" ht="37.5" customHeight="1">
      <c r="A29" s="63" t="s">
        <v>754</v>
      </c>
      <c r="B29" s="63"/>
      <c r="C29" s="72" t="s">
        <v>370</v>
      </c>
      <c r="D29" s="64" t="s">
        <v>371</v>
      </c>
      <c r="E29" s="857">
        <v>3693.72</v>
      </c>
      <c r="F29" s="814"/>
    </row>
    <row r="30" spans="1:6" ht="26.25" customHeight="1">
      <c r="A30" s="63" t="s">
        <v>755</v>
      </c>
      <c r="B30" s="63"/>
      <c r="C30" s="72" t="s">
        <v>370</v>
      </c>
      <c r="D30" s="64" t="s">
        <v>372</v>
      </c>
      <c r="E30" s="857">
        <v>3693.72</v>
      </c>
      <c r="F30" s="814"/>
    </row>
    <row r="31" spans="1:6" ht="36.75" customHeight="1">
      <c r="A31" s="63" t="s">
        <v>756</v>
      </c>
      <c r="B31" s="63"/>
      <c r="C31" s="72" t="s">
        <v>373</v>
      </c>
      <c r="D31" s="64" t="s">
        <v>376</v>
      </c>
      <c r="E31" s="857">
        <v>3693.72</v>
      </c>
      <c r="F31" s="818">
        <f>26855.62+1200</f>
        <v>28055.62</v>
      </c>
    </row>
    <row r="32" spans="1:6" ht="18.75">
      <c r="A32" s="63" t="s">
        <v>760</v>
      </c>
      <c r="D32" s="50"/>
      <c r="F32" s="814"/>
    </row>
    <row r="33" spans="1:6" ht="18.75" hidden="1">
      <c r="A33" s="63" t="s">
        <v>761</v>
      </c>
      <c r="D33" s="50"/>
      <c r="F33" s="814"/>
    </row>
    <row r="34" spans="1:6" ht="101.25" customHeight="1" hidden="1">
      <c r="A34" s="63" t="s">
        <v>762</v>
      </c>
      <c r="D34" s="50"/>
      <c r="F34" s="814"/>
    </row>
    <row r="35" spans="1:6" ht="18.75" hidden="1">
      <c r="A35" s="63" t="s">
        <v>763</v>
      </c>
      <c r="D35" s="50"/>
      <c r="F35" s="814"/>
    </row>
    <row r="36" spans="1:6" ht="18.75" hidden="1">
      <c r="A36" s="63"/>
      <c r="D36" s="50"/>
      <c r="F36" s="814"/>
    </row>
    <row r="37" spans="1:6" ht="18.75" hidden="1">
      <c r="A37" s="63" t="s">
        <v>764</v>
      </c>
      <c r="D37" s="50"/>
      <c r="F37" s="814"/>
    </row>
    <row r="38" spans="1:6" ht="18.75" hidden="1">
      <c r="A38" s="63"/>
      <c r="D38" s="50"/>
      <c r="F38" s="814"/>
    </row>
    <row r="39" spans="1:6" ht="18.75">
      <c r="A39" s="63"/>
      <c r="C39" s="50" t="s">
        <v>308</v>
      </c>
      <c r="D39" s="50"/>
      <c r="F39" s="814"/>
    </row>
    <row r="40" spans="1:4" ht="18.75">
      <c r="A40" s="63"/>
      <c r="D40" s="50"/>
    </row>
    <row r="41" spans="1:4" ht="18.75">
      <c r="A41" s="63"/>
      <c r="D41" s="50"/>
    </row>
    <row r="42" spans="1:4" ht="18.75" hidden="1">
      <c r="A42" s="63" t="s">
        <v>765</v>
      </c>
      <c r="D42" s="50"/>
    </row>
    <row r="43" spans="1:4" ht="18.75" hidden="1">
      <c r="A43" s="63" t="s">
        <v>766</v>
      </c>
      <c r="D43" s="50"/>
    </row>
    <row r="44" spans="1:4" ht="18.75" hidden="1">
      <c r="A44" s="63" t="s">
        <v>767</v>
      </c>
      <c r="D44" s="50"/>
    </row>
    <row r="45" spans="1:4" ht="27.75" customHeight="1" hidden="1">
      <c r="A45" s="63" t="s">
        <v>768</v>
      </c>
      <c r="D45" s="50"/>
    </row>
    <row r="46" spans="1:4" ht="47.25" customHeight="1" hidden="1">
      <c r="A46" s="71" t="s">
        <v>769</v>
      </c>
      <c r="D46" s="50"/>
    </row>
    <row r="47" spans="1:4" ht="18.75" hidden="1">
      <c r="A47" s="63" t="s">
        <v>770</v>
      </c>
      <c r="D47" s="50"/>
    </row>
    <row r="48" spans="1:4" ht="18.75" hidden="1">
      <c r="A48" s="63" t="s">
        <v>774</v>
      </c>
      <c r="D48" s="50"/>
    </row>
    <row r="49" spans="1:4" ht="18.75" hidden="1">
      <c r="A49" s="63" t="s">
        <v>775</v>
      </c>
      <c r="D49" s="50"/>
    </row>
    <row r="50" spans="1:4" ht="18.75" hidden="1">
      <c r="A50" s="63" t="s">
        <v>776</v>
      </c>
      <c r="D50" s="50"/>
    </row>
    <row r="51" spans="1:4" ht="20.25" hidden="1">
      <c r="A51" s="71" t="s">
        <v>777</v>
      </c>
      <c r="D51" s="50"/>
    </row>
    <row r="52" spans="1:4" ht="18.75" hidden="1">
      <c r="A52" s="63" t="s">
        <v>778</v>
      </c>
      <c r="D52" s="50"/>
    </row>
    <row r="53" spans="1:4" ht="18.75" hidden="1">
      <c r="A53" s="63" t="s">
        <v>779</v>
      </c>
      <c r="D53" s="50"/>
    </row>
    <row r="54" spans="1:4" ht="77.25" customHeight="1" hidden="1">
      <c r="A54" s="63" t="s">
        <v>780</v>
      </c>
      <c r="D54" s="50"/>
    </row>
    <row r="55" spans="1:4" ht="24.75" customHeight="1" hidden="1">
      <c r="A55" s="63" t="s">
        <v>781</v>
      </c>
      <c r="D55" s="50"/>
    </row>
    <row r="56" spans="1:4" ht="18.75" hidden="1">
      <c r="A56" s="63" t="s">
        <v>782</v>
      </c>
      <c r="D56" s="50"/>
    </row>
    <row r="57" spans="1:4" ht="18.75" hidden="1">
      <c r="A57" s="63" t="s">
        <v>783</v>
      </c>
      <c r="D57" s="50"/>
    </row>
    <row r="58" spans="1:4" ht="18.75" hidden="1">
      <c r="A58" s="63" t="s">
        <v>784</v>
      </c>
      <c r="D58" s="50"/>
    </row>
    <row r="59" spans="1:4" ht="18.75" hidden="1">
      <c r="A59" s="73" t="s">
        <v>785</v>
      </c>
      <c r="D59" s="50"/>
    </row>
    <row r="60" spans="1:4" ht="18.75" hidden="1">
      <c r="A60" s="63" t="s">
        <v>5</v>
      </c>
      <c r="D60" s="50"/>
    </row>
    <row r="61" spans="1:4" ht="18.75" hidden="1">
      <c r="A61" s="63" t="s">
        <v>6</v>
      </c>
      <c r="D61" s="50"/>
    </row>
    <row r="62" spans="1:4" ht="27.75" customHeight="1">
      <c r="A62" s="71" t="s">
        <v>7</v>
      </c>
      <c r="D62" s="50"/>
    </row>
    <row r="63" spans="1:4" ht="18.75">
      <c r="A63" s="73" t="s">
        <v>8</v>
      </c>
      <c r="D63" s="50"/>
    </row>
    <row r="64" spans="1:4" ht="18.75">
      <c r="A64" s="63" t="s">
        <v>9</v>
      </c>
      <c r="D64" s="50"/>
    </row>
    <row r="65" spans="1:4" ht="18.75">
      <c r="A65" s="63" t="s">
        <v>10</v>
      </c>
      <c r="D65" s="50"/>
    </row>
    <row r="66" spans="1:4" ht="18.75">
      <c r="A66" s="63" t="s">
        <v>11</v>
      </c>
      <c r="D66" s="50"/>
    </row>
    <row r="67" spans="1:4" ht="18.75">
      <c r="A67" s="63" t="s">
        <v>12</v>
      </c>
      <c r="D67" s="50"/>
    </row>
    <row r="68" spans="1:4" ht="20.25" customHeight="1">
      <c r="A68" s="63" t="s">
        <v>13</v>
      </c>
      <c r="D68" s="50"/>
    </row>
    <row r="69" spans="1:4" ht="24" customHeight="1">
      <c r="A69" s="63" t="s">
        <v>14</v>
      </c>
      <c r="D69" s="50"/>
    </row>
    <row r="70" spans="1:4" ht="39.75" customHeight="1" hidden="1">
      <c r="A70" s="63" t="s">
        <v>15</v>
      </c>
      <c r="D70" s="50"/>
    </row>
    <row r="71" spans="1:4" ht="18.75" hidden="1">
      <c r="A71" s="63" t="s">
        <v>16</v>
      </c>
      <c r="D71" s="50"/>
    </row>
    <row r="72" spans="1:4" ht="18.75" hidden="1">
      <c r="A72" s="63" t="s">
        <v>17</v>
      </c>
      <c r="D72" s="50"/>
    </row>
    <row r="73" spans="1:4" ht="18.75" hidden="1">
      <c r="A73" s="63" t="s">
        <v>18</v>
      </c>
      <c r="D73" s="50"/>
    </row>
    <row r="74" spans="1:4" ht="18.75" hidden="1">
      <c r="A74" s="63" t="s">
        <v>19</v>
      </c>
      <c r="D74" s="50"/>
    </row>
    <row r="75" spans="1:4" ht="18.75">
      <c r="A75" s="73" t="s">
        <v>20</v>
      </c>
      <c r="D75" s="50"/>
    </row>
    <row r="76" spans="1:4" ht="18.75">
      <c r="A76" s="63" t="s">
        <v>21</v>
      </c>
      <c r="D76" s="50"/>
    </row>
    <row r="77" spans="1:4" ht="18.75">
      <c r="A77" s="63" t="s">
        <v>22</v>
      </c>
      <c r="D77" s="50"/>
    </row>
    <row r="78" spans="1:4" ht="18.75">
      <c r="A78" s="63" t="s">
        <v>23</v>
      </c>
      <c r="D78" s="50"/>
    </row>
    <row r="79" spans="1:4" ht="18.75">
      <c r="A79" s="63" t="s">
        <v>24</v>
      </c>
      <c r="D79" s="50"/>
    </row>
    <row r="80" spans="1:4" ht="21.75" customHeight="1">
      <c r="A80" s="63" t="s">
        <v>25</v>
      </c>
      <c r="D80" s="50"/>
    </row>
    <row r="81" spans="1:4" ht="23.25" customHeight="1">
      <c r="A81" s="63" t="s">
        <v>26</v>
      </c>
      <c r="D81" s="50"/>
    </row>
    <row r="82" spans="1:4" ht="41.25" customHeight="1" hidden="1">
      <c r="A82" s="63" t="s">
        <v>27</v>
      </c>
      <c r="D82" s="50"/>
    </row>
    <row r="83" spans="1:4" ht="18.75" hidden="1">
      <c r="A83" s="63" t="s">
        <v>28</v>
      </c>
      <c r="D83" s="50"/>
    </row>
    <row r="84" spans="1:4" ht="18.75">
      <c r="A84" s="76"/>
      <c r="D84" s="50"/>
    </row>
    <row r="85" spans="1:4" ht="18.75">
      <c r="A85" s="76"/>
      <c r="B85" s="77"/>
      <c r="D85" s="78"/>
    </row>
    <row r="86" ht="18">
      <c r="B86" s="79"/>
    </row>
    <row r="87" ht="18">
      <c r="B87" s="79"/>
    </row>
    <row r="89" ht="18">
      <c r="B89" s="79"/>
    </row>
    <row r="90" ht="18">
      <c r="B90" s="79"/>
    </row>
    <row r="91" ht="18">
      <c r="B91" s="79"/>
    </row>
    <row r="92" ht="18">
      <c r="B92" s="79"/>
    </row>
  </sheetData>
  <sheetProtection/>
  <mergeCells count="1">
    <mergeCell ref="B8:C8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90" zoomScaleNormal="90" zoomScaleSheetLayoutView="90" zoomScalePageLayoutView="0" workbookViewId="0" topLeftCell="A1">
      <selection activeCell="D32" sqref="D32"/>
    </sheetView>
  </sheetViews>
  <sheetFormatPr defaultColWidth="9.00390625" defaultRowHeight="12.75"/>
  <cols>
    <col min="1" max="1" width="49.375" style="80" customWidth="1"/>
    <col min="2" max="2" width="11.625" style="81" customWidth="1"/>
    <col min="3" max="3" width="13.375" style="80" customWidth="1"/>
    <col min="4" max="4" width="18.375" style="80" customWidth="1"/>
    <col min="5" max="5" width="15.375" style="80" customWidth="1"/>
    <col min="6" max="6" width="12.125" style="80" hidden="1" customWidth="1"/>
    <col min="7" max="44" width="12.125" style="80" customWidth="1"/>
    <col min="45" max="16384" width="9.125" style="80" customWidth="1"/>
  </cols>
  <sheetData>
    <row r="1" spans="4:6" ht="15.75">
      <c r="D1" s="127" t="s">
        <v>580</v>
      </c>
      <c r="E1" s="6"/>
      <c r="F1" s="127"/>
    </row>
    <row r="2" spans="4:6" ht="15.75">
      <c r="D2" s="127" t="s">
        <v>546</v>
      </c>
      <c r="E2" s="4"/>
      <c r="F2" s="127"/>
    </row>
    <row r="3" spans="4:6" ht="15.75">
      <c r="D3" s="127" t="s">
        <v>1225</v>
      </c>
      <c r="E3" s="4"/>
      <c r="F3" s="127"/>
    </row>
    <row r="4" spans="4:6" ht="15.75">
      <c r="D4" s="548" t="str">
        <f>доходы!B3</f>
        <v>от 5.03.2012 №5</v>
      </c>
      <c r="E4" s="547"/>
      <c r="F4" s="548"/>
    </row>
    <row r="5" spans="4:5" ht="15.75">
      <c r="D5" s="82"/>
      <c r="E5" s="82"/>
    </row>
    <row r="6" spans="1:6" ht="53.25" customHeight="1">
      <c r="A6" s="1142" t="s">
        <v>1241</v>
      </c>
      <c r="B6" s="1142"/>
      <c r="C6" s="1142"/>
      <c r="D6" s="1142"/>
      <c r="E6" s="1142"/>
      <c r="F6" s="84"/>
    </row>
    <row r="7" ht="16.5" thickBot="1">
      <c r="E7" s="85" t="s">
        <v>29</v>
      </c>
    </row>
    <row r="8" spans="1:5" ht="90.75" customHeight="1" thickBot="1">
      <c r="A8" s="86" t="s">
        <v>30</v>
      </c>
      <c r="B8" s="87" t="s">
        <v>31</v>
      </c>
      <c r="C8" s="88" t="s">
        <v>32</v>
      </c>
      <c r="D8" s="886" t="s">
        <v>946</v>
      </c>
      <c r="E8" s="89" t="s">
        <v>634</v>
      </c>
    </row>
    <row r="9" spans="1:8" ht="23.25" customHeight="1">
      <c r="A9" s="90" t="s">
        <v>638</v>
      </c>
      <c r="B9" s="91"/>
      <c r="C9" s="882">
        <f>C10+C13+C14+C18+C19+C26+C27+C29+C28</f>
        <v>3673.7200000000003</v>
      </c>
      <c r="D9" s="653">
        <f>SUM(D11:D50)</f>
        <v>20</v>
      </c>
      <c r="E9" s="881">
        <f aca="true" t="shared" si="0" ref="E9:E17">SUM(C9:D9)</f>
        <v>3693.7200000000003</v>
      </c>
      <c r="F9" s="92" t="str">
        <f>"11_10_________"</f>
        <v>11_10_________</v>
      </c>
      <c r="G9" s="1075">
        <v>34581.90858</v>
      </c>
      <c r="H9" s="1075">
        <f>E9-G9</f>
        <v>-30888.188580000002</v>
      </c>
    </row>
    <row r="10" spans="1:6" ht="34.5" customHeight="1">
      <c r="A10" s="93" t="s">
        <v>261</v>
      </c>
      <c r="B10" s="94" t="s">
        <v>260</v>
      </c>
      <c r="C10" s="654">
        <v>676.6</v>
      </c>
      <c r="D10" s="655"/>
      <c r="E10" s="656">
        <f t="shared" si="0"/>
        <v>676.6</v>
      </c>
      <c r="F10" s="92"/>
    </row>
    <row r="11" spans="1:6" ht="0.75" customHeight="1">
      <c r="A11" s="93"/>
      <c r="B11" s="94"/>
      <c r="C11" s="654"/>
      <c r="D11" s="657"/>
      <c r="E11" s="656">
        <f t="shared" si="0"/>
        <v>0</v>
      </c>
      <c r="F11" s="92"/>
    </row>
    <row r="12" spans="1:6" ht="0.75" customHeight="1">
      <c r="A12" s="93"/>
      <c r="B12" s="94"/>
      <c r="C12" s="654"/>
      <c r="D12" s="657"/>
      <c r="E12" s="656">
        <f t="shared" si="0"/>
        <v>0</v>
      </c>
      <c r="F12" s="92"/>
    </row>
    <row r="13" spans="1:6" ht="25.5" customHeight="1">
      <c r="A13" s="93" t="s">
        <v>382</v>
      </c>
      <c r="B13" s="94" t="s">
        <v>383</v>
      </c>
      <c r="C13" s="658">
        <f>'свод бюджет'!W57</f>
        <v>0</v>
      </c>
      <c r="D13" s="657"/>
      <c r="E13" s="656">
        <f t="shared" si="0"/>
        <v>0</v>
      </c>
      <c r="F13" s="92"/>
    </row>
    <row r="14" spans="1:5" ht="34.5" customHeight="1">
      <c r="A14" s="93" t="s">
        <v>262</v>
      </c>
      <c r="B14" s="95" t="s">
        <v>33</v>
      </c>
      <c r="C14" s="658">
        <v>123.6</v>
      </c>
      <c r="D14" s="659"/>
      <c r="E14" s="656">
        <f t="shared" si="0"/>
        <v>123.6</v>
      </c>
    </row>
    <row r="15" spans="1:5" ht="39.75" customHeight="1" hidden="1">
      <c r="A15" s="93" t="s">
        <v>35</v>
      </c>
      <c r="B15" s="95" t="s">
        <v>36</v>
      </c>
      <c r="C15" s="658"/>
      <c r="D15" s="659"/>
      <c r="E15" s="656">
        <f t="shared" si="0"/>
        <v>0</v>
      </c>
    </row>
    <row r="16" spans="1:5" ht="48" customHeight="1" hidden="1">
      <c r="A16" s="93" t="s">
        <v>37</v>
      </c>
      <c r="B16" s="95" t="s">
        <v>38</v>
      </c>
      <c r="C16" s="658"/>
      <c r="D16" s="659"/>
      <c r="E16" s="656">
        <f t="shared" si="0"/>
        <v>0</v>
      </c>
    </row>
    <row r="17" spans="1:5" ht="39.75" customHeight="1" hidden="1">
      <c r="A17" s="93" t="s">
        <v>39</v>
      </c>
      <c r="B17" s="95" t="s">
        <v>40</v>
      </c>
      <c r="C17" s="658"/>
      <c r="D17" s="659"/>
      <c r="E17" s="656">
        <f t="shared" si="0"/>
        <v>0</v>
      </c>
    </row>
    <row r="18" spans="1:5" ht="39.75" customHeight="1">
      <c r="A18" s="93" t="s">
        <v>263</v>
      </c>
      <c r="B18" s="95" t="s">
        <v>34</v>
      </c>
      <c r="C18" s="658">
        <v>0</v>
      </c>
      <c r="D18" s="659"/>
      <c r="E18" s="656">
        <f>C18</f>
        <v>0</v>
      </c>
    </row>
    <row r="19" spans="1:5" ht="33" customHeight="1">
      <c r="A19" s="93" t="s">
        <v>88</v>
      </c>
      <c r="B19" s="95" t="s">
        <v>258</v>
      </c>
      <c r="C19" s="883">
        <v>671.22</v>
      </c>
      <c r="D19" s="659"/>
      <c r="E19" s="885">
        <f aca="true" t="shared" si="1" ref="E19:E30">SUM(C19:D19)</f>
        <v>671.22</v>
      </c>
    </row>
    <row r="20" spans="1:5" ht="56.25" customHeight="1" hidden="1">
      <c r="A20" s="93" t="s">
        <v>41</v>
      </c>
      <c r="B20" s="95" t="s">
        <v>42</v>
      </c>
      <c r="C20" s="658"/>
      <c r="D20" s="659"/>
      <c r="E20" s="656">
        <f t="shared" si="1"/>
        <v>0</v>
      </c>
    </row>
    <row r="21" spans="1:5" ht="39.75" customHeight="1" hidden="1">
      <c r="A21" s="93" t="s">
        <v>49</v>
      </c>
      <c r="B21" s="95" t="str">
        <f>" 216"</f>
        <v> 216</v>
      </c>
      <c r="C21" s="658"/>
      <c r="D21" s="659"/>
      <c r="E21" s="656">
        <f t="shared" si="1"/>
        <v>0</v>
      </c>
    </row>
    <row r="22" spans="1:5" ht="54.75" customHeight="1" hidden="1">
      <c r="A22" s="93" t="s">
        <v>50</v>
      </c>
      <c r="B22" s="95" t="s">
        <v>51</v>
      </c>
      <c r="C22" s="658"/>
      <c r="D22" s="659"/>
      <c r="E22" s="656">
        <f t="shared" si="1"/>
        <v>0</v>
      </c>
    </row>
    <row r="23" spans="1:5" ht="26.25" customHeight="1" hidden="1">
      <c r="A23" s="93" t="s">
        <v>52</v>
      </c>
      <c r="B23" s="95" t="s">
        <v>53</v>
      </c>
      <c r="C23" s="658"/>
      <c r="D23" s="659"/>
      <c r="E23" s="656">
        <f t="shared" si="1"/>
        <v>0</v>
      </c>
    </row>
    <row r="24" spans="1:5" ht="57" customHeight="1" hidden="1">
      <c r="A24" s="93" t="s">
        <v>57</v>
      </c>
      <c r="B24" s="95" t="s">
        <v>58</v>
      </c>
      <c r="C24" s="658"/>
      <c r="D24" s="659"/>
      <c r="E24" s="656">
        <f t="shared" si="1"/>
        <v>0</v>
      </c>
    </row>
    <row r="25" spans="1:5" ht="27.75" customHeight="1" hidden="1">
      <c r="A25" s="93" t="s">
        <v>59</v>
      </c>
      <c r="B25" s="95" t="s">
        <v>60</v>
      </c>
      <c r="C25" s="658"/>
      <c r="D25" s="659"/>
      <c r="E25" s="656">
        <f t="shared" si="1"/>
        <v>0</v>
      </c>
    </row>
    <row r="26" spans="1:5" ht="50.25" customHeight="1" hidden="1">
      <c r="A26" s="93" t="s">
        <v>264</v>
      </c>
      <c r="B26" s="95" t="s">
        <v>259</v>
      </c>
      <c r="C26" s="883">
        <v>0</v>
      </c>
      <c r="D26" s="659"/>
      <c r="E26" s="885">
        <f t="shared" si="1"/>
        <v>0</v>
      </c>
    </row>
    <row r="27" spans="1:5" ht="50.25" customHeight="1">
      <c r="A27" s="93" t="s">
        <v>384</v>
      </c>
      <c r="B27" s="95" t="s">
        <v>385</v>
      </c>
      <c r="C27" s="658">
        <v>31.3</v>
      </c>
      <c r="D27" s="659"/>
      <c r="E27" s="656">
        <f t="shared" si="1"/>
        <v>31.3</v>
      </c>
    </row>
    <row r="28" spans="1:5" ht="39.75" customHeight="1">
      <c r="A28" s="93" t="s">
        <v>536</v>
      </c>
      <c r="B28" s="95" t="s">
        <v>535</v>
      </c>
      <c r="C28" s="658"/>
      <c r="D28" s="659"/>
      <c r="E28" s="656">
        <f t="shared" si="1"/>
        <v>0</v>
      </c>
    </row>
    <row r="29" spans="1:5" ht="35.25" customHeight="1">
      <c r="A29" s="375" t="s">
        <v>265</v>
      </c>
      <c r="B29" s="353">
        <v>500</v>
      </c>
      <c r="C29" s="883">
        <v>2171</v>
      </c>
      <c r="D29" s="884"/>
      <c r="E29" s="885">
        <f t="shared" si="1"/>
        <v>2171</v>
      </c>
    </row>
    <row r="30" spans="1:5" ht="44.25" customHeight="1" hidden="1">
      <c r="A30" s="354"/>
      <c r="B30" s="348"/>
      <c r="C30" s="660"/>
      <c r="D30" s="661"/>
      <c r="E30" s="662">
        <f t="shared" si="1"/>
        <v>0</v>
      </c>
    </row>
    <row r="31" spans="1:5" ht="44.25" customHeight="1">
      <c r="A31" s="362" t="s">
        <v>633</v>
      </c>
      <c r="B31" s="448" t="s">
        <v>519</v>
      </c>
      <c r="C31" s="658"/>
      <c r="D31" s="657">
        <v>20</v>
      </c>
      <c r="E31" s="618">
        <f>D31</f>
        <v>20</v>
      </c>
    </row>
    <row r="32" spans="1:5" ht="44.25" customHeight="1">
      <c r="A32" s="355" t="s">
        <v>308</v>
      </c>
      <c r="B32" s="356"/>
      <c r="C32" s="357"/>
      <c r="D32" s="357"/>
      <c r="E32" s="358"/>
    </row>
    <row r="33" spans="1:5" ht="34.5" customHeight="1">
      <c r="A33" s="355"/>
      <c r="B33" s="356"/>
      <c r="C33" s="357"/>
      <c r="D33" s="357"/>
      <c r="E33" s="358"/>
    </row>
    <row r="34" spans="1:5" ht="23.25" customHeight="1" hidden="1">
      <c r="A34" s="355"/>
      <c r="B34" s="356"/>
      <c r="C34" s="357"/>
      <c r="D34" s="357"/>
      <c r="E34" s="358"/>
    </row>
    <row r="35" spans="1:5" ht="41.25" customHeight="1" hidden="1">
      <c r="A35" s="355"/>
      <c r="B35" s="356"/>
      <c r="C35" s="357"/>
      <c r="D35" s="357"/>
      <c r="E35" s="358"/>
    </row>
    <row r="36" spans="1:5" ht="41.25" customHeight="1" hidden="1">
      <c r="A36" s="355"/>
      <c r="B36" s="356"/>
      <c r="C36" s="357"/>
      <c r="D36" s="357"/>
      <c r="E36" s="358"/>
    </row>
    <row r="37" spans="1:5" ht="23.25" customHeight="1" hidden="1">
      <c r="A37" s="355"/>
      <c r="B37" s="356"/>
      <c r="C37" s="357"/>
      <c r="D37" s="357"/>
      <c r="E37" s="358"/>
    </row>
    <row r="38" spans="1:5" ht="48" customHeight="1" hidden="1">
      <c r="A38" s="355"/>
      <c r="B38" s="356"/>
      <c r="C38" s="357"/>
      <c r="D38" s="357"/>
      <c r="E38" s="358"/>
    </row>
    <row r="39" spans="1:5" ht="48" customHeight="1">
      <c r="A39" s="355"/>
      <c r="B39" s="356"/>
      <c r="C39" s="357"/>
      <c r="D39" s="357"/>
      <c r="E39" s="358"/>
    </row>
    <row r="40" spans="1:5" ht="35.25" customHeight="1">
      <c r="A40" s="355"/>
      <c r="B40" s="356"/>
      <c r="C40" s="357"/>
      <c r="D40" s="357"/>
      <c r="E40" s="358"/>
    </row>
    <row r="41" spans="1:5" ht="57.75" customHeight="1" hidden="1">
      <c r="A41" s="355"/>
      <c r="B41" s="356"/>
      <c r="C41" s="357"/>
      <c r="D41" s="357"/>
      <c r="E41" s="358"/>
    </row>
    <row r="42" spans="1:5" ht="29.25" customHeight="1" hidden="1">
      <c r="A42" s="355"/>
      <c r="B42" s="356"/>
      <c r="C42" s="357"/>
      <c r="D42" s="357"/>
      <c r="E42" s="358"/>
    </row>
    <row r="43" spans="1:5" ht="31.5" customHeight="1" hidden="1">
      <c r="A43" s="355"/>
      <c r="B43" s="356"/>
      <c r="C43" s="357"/>
      <c r="D43" s="357"/>
      <c r="E43" s="358"/>
    </row>
    <row r="44" spans="1:5" ht="45" customHeight="1" hidden="1">
      <c r="A44" s="355"/>
      <c r="B44" s="356"/>
      <c r="C44" s="357"/>
      <c r="D44" s="357"/>
      <c r="E44" s="358"/>
    </row>
    <row r="45" spans="1:5" ht="45" customHeight="1" hidden="1">
      <c r="A45" s="355"/>
      <c r="B45" s="356"/>
      <c r="C45" s="357"/>
      <c r="D45" s="357"/>
      <c r="E45" s="358"/>
    </row>
    <row r="46" spans="1:5" ht="32.25" customHeight="1">
      <c r="A46" s="355"/>
      <c r="B46" s="356"/>
      <c r="C46" s="357"/>
      <c r="D46" s="357"/>
      <c r="E46" s="358"/>
    </row>
    <row r="47" spans="1:5" ht="22.5" customHeight="1">
      <c r="A47" s="355"/>
      <c r="B47" s="356"/>
      <c r="C47" s="357"/>
      <c r="D47" s="357"/>
      <c r="E47" s="358"/>
    </row>
    <row r="48" spans="1:5" ht="22.5" customHeight="1">
      <c r="A48" s="355"/>
      <c r="B48" s="356"/>
      <c r="C48" s="357"/>
      <c r="D48" s="357"/>
      <c r="E48" s="358"/>
    </row>
    <row r="49" spans="1:5" ht="61.5" customHeight="1">
      <c r="A49" s="355"/>
      <c r="B49" s="356"/>
      <c r="C49" s="359"/>
      <c r="D49" s="359"/>
      <c r="E49" s="358"/>
    </row>
    <row r="50" spans="1:5" ht="21.75" customHeight="1">
      <c r="A50" s="355"/>
      <c r="B50" s="356"/>
      <c r="C50" s="359"/>
      <c r="D50" s="359"/>
      <c r="E50" s="360"/>
    </row>
    <row r="54" ht="15.75">
      <c r="A54" s="85"/>
    </row>
  </sheetData>
  <sheetProtection/>
  <mergeCells count="1">
    <mergeCell ref="A6:E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zoomScale="75" zoomScaleSheetLayoutView="75" zoomScalePageLayoutView="0" workbookViewId="0" topLeftCell="A1">
      <selection activeCell="D23" sqref="D23"/>
    </sheetView>
  </sheetViews>
  <sheetFormatPr defaultColWidth="9.00390625" defaultRowHeight="12.75"/>
  <cols>
    <col min="1" max="1" width="46.00390625" style="99" customWidth="1"/>
    <col min="2" max="2" width="19.375" style="99" customWidth="1"/>
    <col min="3" max="3" width="19.625" style="99" customWidth="1"/>
    <col min="4" max="4" width="26.00390625" style="99" customWidth="1"/>
    <col min="5" max="5" width="22.00390625" style="99" customWidth="1"/>
    <col min="6" max="6" width="12.125" style="99" hidden="1" customWidth="1"/>
    <col min="7" max="44" width="12.125" style="99" customWidth="1"/>
    <col min="45" max="16384" width="9.125" style="99" customWidth="1"/>
  </cols>
  <sheetData>
    <row r="1" spans="2:6" s="96" customFormat="1" ht="18.75">
      <c r="B1" s="97"/>
      <c r="D1" s="127" t="s">
        <v>580</v>
      </c>
      <c r="E1" s="6"/>
      <c r="F1" s="127"/>
    </row>
    <row r="2" spans="2:6" s="96" customFormat="1" ht="18.75">
      <c r="B2" s="97"/>
      <c r="D2" s="127" t="s">
        <v>546</v>
      </c>
      <c r="E2" s="4"/>
      <c r="F2" s="127"/>
    </row>
    <row r="3" spans="2:6" s="96" customFormat="1" ht="18.75">
      <c r="B3" s="97"/>
      <c r="D3" s="127" t="s">
        <v>433</v>
      </c>
      <c r="E3" s="4"/>
      <c r="F3" s="127"/>
    </row>
    <row r="4" spans="2:6" s="96" customFormat="1" ht="18.75">
      <c r="B4" s="97"/>
      <c r="D4" s="548"/>
      <c r="E4" s="547"/>
      <c r="F4" s="548"/>
    </row>
    <row r="6" spans="1:6" s="101" customFormat="1" ht="53.25" customHeight="1">
      <c r="A6" s="1142" t="s">
        <v>334</v>
      </c>
      <c r="B6" s="1142"/>
      <c r="C6" s="1142"/>
      <c r="D6" s="1142"/>
      <c r="E6" s="1142"/>
      <c r="F6" s="100"/>
    </row>
    <row r="7" spans="1:5" s="101" customFormat="1" ht="16.5" thickBot="1">
      <c r="A7" s="80"/>
      <c r="B7" s="80"/>
      <c r="C7" s="80"/>
      <c r="D7" s="80"/>
      <c r="E7" s="84" t="s">
        <v>72</v>
      </c>
    </row>
    <row r="8" spans="1:5" s="101" customFormat="1" ht="97.5" customHeight="1" thickBot="1">
      <c r="A8" s="102" t="s">
        <v>30</v>
      </c>
      <c r="B8" s="103" t="s">
        <v>73</v>
      </c>
      <c r="C8" s="104" t="s">
        <v>32</v>
      </c>
      <c r="D8" s="105" t="s">
        <v>633</v>
      </c>
      <c r="E8" s="106" t="s">
        <v>634</v>
      </c>
    </row>
    <row r="9" spans="1:8" s="101" customFormat="1" ht="30" customHeight="1">
      <c r="A9" s="107" t="s">
        <v>638</v>
      </c>
      <c r="B9" s="108"/>
      <c r="C9" s="675">
        <f>C10+C23+C14+C26+C28+C32+C33</f>
        <v>34315.90858</v>
      </c>
      <c r="D9" s="675">
        <f>D10+D14+D21+D23+D26+D28+D32+D33+D37+D38</f>
        <v>24</v>
      </c>
      <c r="E9" s="675">
        <f>E10+E14+E21+E23+E26+E28+E32+E33+E37+E38</f>
        <v>34339.908579999996</v>
      </c>
      <c r="F9" s="109" t="str">
        <f>"11_10_________"</f>
        <v>11_10_________</v>
      </c>
      <c r="H9" s="599"/>
    </row>
    <row r="10" spans="1:5" s="40" customFormat="1" ht="42" customHeight="1">
      <c r="A10" s="110" t="s">
        <v>212</v>
      </c>
      <c r="B10" s="111" t="str">
        <f>"210"</f>
        <v>210</v>
      </c>
      <c r="C10" s="112">
        <f>SUM(C11:C13)</f>
        <v>5177.9</v>
      </c>
      <c r="D10" s="112">
        <f>SUM(D11:D13)</f>
        <v>18</v>
      </c>
      <c r="E10" s="113">
        <f>SUM(E11:E13)</f>
        <v>5195.9</v>
      </c>
    </row>
    <row r="11" spans="1:5" s="101" customFormat="1" ht="23.25" customHeight="1">
      <c r="A11" s="114" t="s">
        <v>74</v>
      </c>
      <c r="B11" s="115" t="str">
        <f>"211"</f>
        <v>211</v>
      </c>
      <c r="C11" s="116">
        <f>'свод бюджет'!C135</f>
        <v>3792</v>
      </c>
      <c r="D11" s="116">
        <f>'0800 пред'!C13</f>
        <v>12.564</v>
      </c>
      <c r="E11" s="117">
        <f>C11+D11</f>
        <v>3804.564</v>
      </c>
    </row>
    <row r="12" spans="1:5" s="101" customFormat="1" ht="23.25" customHeight="1">
      <c r="A12" s="114" t="s">
        <v>75</v>
      </c>
      <c r="B12" s="115" t="str">
        <f>"212"</f>
        <v>212</v>
      </c>
      <c r="C12" s="116">
        <f>'свод бюджет'!D135</f>
        <v>88</v>
      </c>
      <c r="D12" s="116"/>
      <c r="E12" s="117">
        <f>C12+D12</f>
        <v>88</v>
      </c>
    </row>
    <row r="13" spans="1:5" s="101" customFormat="1" ht="23.25" customHeight="1">
      <c r="A13" s="114" t="s">
        <v>213</v>
      </c>
      <c r="B13" s="115" t="str">
        <f>"213"</f>
        <v>213</v>
      </c>
      <c r="C13" s="116">
        <f>'свод бюджет'!E135</f>
        <v>1297.9</v>
      </c>
      <c r="D13" s="116">
        <f>'0800 пред'!E13</f>
        <v>5.436</v>
      </c>
      <c r="E13" s="117">
        <f>C13+D13</f>
        <v>1303.336</v>
      </c>
    </row>
    <row r="14" spans="1:5" s="40" customFormat="1" ht="23.25" customHeight="1">
      <c r="A14" s="110" t="s">
        <v>214</v>
      </c>
      <c r="B14" s="111" t="str">
        <f>"220"</f>
        <v>220</v>
      </c>
      <c r="C14" s="112">
        <f>SUM(C15:C20)</f>
        <v>2512.0186000000003</v>
      </c>
      <c r="D14" s="112">
        <f>SUM(D15:D20)</f>
        <v>4</v>
      </c>
      <c r="E14" s="113">
        <f>SUM(E15:E20)</f>
        <v>2516.0186000000003</v>
      </c>
    </row>
    <row r="15" spans="1:5" s="101" customFormat="1" ht="23.25" customHeight="1">
      <c r="A15" s="114" t="s">
        <v>77</v>
      </c>
      <c r="B15" s="115" t="str">
        <f>"221"</f>
        <v>221</v>
      </c>
      <c r="C15" s="116">
        <f>'свод бюджет'!G135</f>
        <v>155.60000000000002</v>
      </c>
      <c r="D15" s="116"/>
      <c r="E15" s="117">
        <f aca="true" t="shared" si="0" ref="E15:E20">C15+D15</f>
        <v>155.60000000000002</v>
      </c>
    </row>
    <row r="16" spans="1:5" s="101" customFormat="1" ht="23.25" customHeight="1">
      <c r="A16" s="114" t="s">
        <v>78</v>
      </c>
      <c r="B16" s="115" t="str">
        <f>"222"</f>
        <v>222</v>
      </c>
      <c r="C16" s="116">
        <f>'свод бюджет'!H135</f>
        <v>105</v>
      </c>
      <c r="D16" s="116"/>
      <c r="E16" s="117">
        <f t="shared" si="0"/>
        <v>105</v>
      </c>
    </row>
    <row r="17" spans="1:5" s="101" customFormat="1" ht="23.25" customHeight="1">
      <c r="A17" s="114" t="s">
        <v>79</v>
      </c>
      <c r="B17" s="115" t="str">
        <f>"223"</f>
        <v>223</v>
      </c>
      <c r="C17" s="116">
        <f>'свод бюджет'!I135</f>
        <v>1375.9</v>
      </c>
      <c r="D17" s="116"/>
      <c r="E17" s="117">
        <f t="shared" si="0"/>
        <v>1375.9</v>
      </c>
    </row>
    <row r="18" spans="1:5" s="101" customFormat="1" ht="27.75" customHeight="1">
      <c r="A18" s="114" t="s">
        <v>80</v>
      </c>
      <c r="B18" s="115" t="str">
        <f>"224"</f>
        <v>224</v>
      </c>
      <c r="C18" s="116">
        <f>'свод бюджет'!J135</f>
        <v>6</v>
      </c>
      <c r="D18" s="116"/>
      <c r="E18" s="117">
        <f t="shared" si="0"/>
        <v>6</v>
      </c>
    </row>
    <row r="19" spans="1:5" s="101" customFormat="1" ht="23.25" customHeight="1">
      <c r="A19" s="114" t="s">
        <v>215</v>
      </c>
      <c r="B19" s="115" t="str">
        <f>"225"</f>
        <v>225</v>
      </c>
      <c r="C19" s="721">
        <f>'свод бюджет'!K135</f>
        <v>329.91532</v>
      </c>
      <c r="D19" s="116"/>
      <c r="E19" s="117">
        <f t="shared" si="0"/>
        <v>329.91532</v>
      </c>
    </row>
    <row r="20" spans="1:5" s="101" customFormat="1" ht="23.25" customHeight="1">
      <c r="A20" s="114" t="s">
        <v>216</v>
      </c>
      <c r="B20" s="115" t="str">
        <f>"226"</f>
        <v>226</v>
      </c>
      <c r="C20" s="116">
        <f>'свод бюджет'!L135</f>
        <v>539.60328</v>
      </c>
      <c r="D20" s="116">
        <v>4</v>
      </c>
      <c r="E20" s="117">
        <f t="shared" si="0"/>
        <v>543.60328</v>
      </c>
    </row>
    <row r="21" spans="1:5" s="40" customFormat="1" ht="23.25" customHeight="1" hidden="1">
      <c r="A21" s="110" t="s">
        <v>81</v>
      </c>
      <c r="B21" s="111" t="str">
        <f>"230"</f>
        <v>230</v>
      </c>
      <c r="C21" s="112">
        <f>C22</f>
        <v>0</v>
      </c>
      <c r="D21" s="112">
        <f>D22</f>
        <v>0</v>
      </c>
      <c r="E21" s="113">
        <f>E22</f>
        <v>0</v>
      </c>
    </row>
    <row r="22" spans="1:5" s="101" customFormat="1" ht="33" customHeight="1" hidden="1">
      <c r="A22" s="114" t="s">
        <v>82</v>
      </c>
      <c r="B22" s="115" t="str">
        <f>"231"</f>
        <v>231</v>
      </c>
      <c r="C22" s="116"/>
      <c r="D22" s="116"/>
      <c r="E22" s="117">
        <f>C22+D22</f>
        <v>0</v>
      </c>
    </row>
    <row r="23" spans="1:5" s="40" customFormat="1" ht="42" customHeight="1">
      <c r="A23" s="110" t="s">
        <v>217</v>
      </c>
      <c r="B23" s="111" t="str">
        <f>"240"</f>
        <v>240</v>
      </c>
      <c r="C23" s="663">
        <f>SUM(C24:C25)</f>
        <v>967.00056</v>
      </c>
      <c r="D23" s="112">
        <f>SUM(D24:D25)</f>
        <v>0</v>
      </c>
      <c r="E23" s="113">
        <f>SUM(E24:E25)</f>
        <v>967.00056</v>
      </c>
    </row>
    <row r="24" spans="1:5" s="101" customFormat="1" ht="55.5" customHeight="1">
      <c r="A24" s="114" t="s">
        <v>218</v>
      </c>
      <c r="B24" s="115" t="str">
        <f>"241"</f>
        <v>241</v>
      </c>
      <c r="C24" s="721">
        <f>'свод бюджет'!O135</f>
        <v>0</v>
      </c>
      <c r="D24" s="116"/>
      <c r="E24" s="117">
        <f>C24+D24</f>
        <v>0</v>
      </c>
    </row>
    <row r="25" spans="1:5" s="101" customFormat="1" ht="68.25" customHeight="1">
      <c r="A25" s="114" t="s">
        <v>219</v>
      </c>
      <c r="B25" s="115" t="str">
        <f>"242"</f>
        <v>242</v>
      </c>
      <c r="C25" s="116">
        <f>'свод бюджет'!P135</f>
        <v>967.00056</v>
      </c>
      <c r="D25" s="116"/>
      <c r="E25" s="117">
        <f>C25+D25</f>
        <v>967.00056</v>
      </c>
    </row>
    <row r="26" spans="1:5" s="40" customFormat="1" ht="36.75" customHeight="1">
      <c r="A26" s="110" t="s">
        <v>220</v>
      </c>
      <c r="B26" s="111" t="str">
        <f>"250"</f>
        <v>250</v>
      </c>
      <c r="C26" s="112">
        <f>C27</f>
        <v>0</v>
      </c>
      <c r="D26" s="112"/>
      <c r="E26" s="117">
        <f>C26+D26</f>
        <v>0</v>
      </c>
    </row>
    <row r="27" spans="1:5" s="101" customFormat="1" ht="42" customHeight="1">
      <c r="A27" s="114" t="s">
        <v>83</v>
      </c>
      <c r="B27" s="115" t="str">
        <f>"251"</f>
        <v>251</v>
      </c>
      <c r="C27" s="116">
        <f>'свод бюджет'!Q135</f>
        <v>0</v>
      </c>
      <c r="D27" s="116"/>
      <c r="E27" s="117">
        <f>C27+D27</f>
        <v>0</v>
      </c>
    </row>
    <row r="28" spans="1:5" s="40" customFormat="1" ht="23.25" customHeight="1">
      <c r="A28" s="110" t="s">
        <v>84</v>
      </c>
      <c r="B28" s="111" t="str">
        <f>"260"</f>
        <v>260</v>
      </c>
      <c r="C28" s="112">
        <f>C29+C30+C31</f>
        <v>553.8</v>
      </c>
      <c r="D28" s="112">
        <f>D29+D30+D31</f>
        <v>0</v>
      </c>
      <c r="E28" s="113">
        <f>E29+E30+E31</f>
        <v>553.8</v>
      </c>
    </row>
    <row r="29" spans="1:5" s="101" customFormat="1" ht="36.75" customHeight="1">
      <c r="A29" s="114" t="s">
        <v>85</v>
      </c>
      <c r="B29" s="115" t="str">
        <f>"261"</f>
        <v>261</v>
      </c>
      <c r="C29" s="116"/>
      <c r="D29" s="116"/>
      <c r="E29" s="117">
        <f>C29+D29</f>
        <v>0</v>
      </c>
    </row>
    <row r="30" spans="1:5" s="101" customFormat="1" ht="30.75" customHeight="1">
      <c r="A30" s="114" t="s">
        <v>86</v>
      </c>
      <c r="B30" s="115" t="str">
        <f>"262"</f>
        <v>262</v>
      </c>
      <c r="C30" s="116"/>
      <c r="D30" s="116"/>
      <c r="E30" s="117">
        <f>C30+D30</f>
        <v>0</v>
      </c>
    </row>
    <row r="31" spans="1:5" s="101" customFormat="1" ht="60.75" customHeight="1">
      <c r="A31" s="114" t="s">
        <v>87</v>
      </c>
      <c r="B31" s="115" t="str">
        <f>"263"</f>
        <v>263</v>
      </c>
      <c r="C31" s="116">
        <f>'свод бюджет'!T121</f>
        <v>553.8</v>
      </c>
      <c r="D31" s="116"/>
      <c r="E31" s="117">
        <f>C31+D31</f>
        <v>553.8</v>
      </c>
    </row>
    <row r="32" spans="1:5" s="40" customFormat="1" ht="23.25" customHeight="1">
      <c r="A32" s="110" t="s">
        <v>88</v>
      </c>
      <c r="B32" s="111" t="str">
        <f>"290"</f>
        <v>290</v>
      </c>
      <c r="C32" s="663">
        <f>'свод бюджет'!U135</f>
        <v>433.63942</v>
      </c>
      <c r="D32" s="112">
        <f>'0800 пред'!Q13</f>
        <v>0</v>
      </c>
      <c r="E32" s="674">
        <f>C32+D32</f>
        <v>433.63942</v>
      </c>
    </row>
    <row r="33" spans="1:5" s="40" customFormat="1" ht="23.25" customHeight="1">
      <c r="A33" s="110" t="s">
        <v>89</v>
      </c>
      <c r="B33" s="111" t="str">
        <f>"300"</f>
        <v>300</v>
      </c>
      <c r="C33" s="663">
        <f>SUM(C34:C36)</f>
        <v>24671.55</v>
      </c>
      <c r="D33" s="112">
        <f>SUM(D34:D36)</f>
        <v>2</v>
      </c>
      <c r="E33" s="674">
        <f>SUM(E34:E36)</f>
        <v>24673.55</v>
      </c>
    </row>
    <row r="34" spans="1:5" s="101" customFormat="1" ht="29.25" customHeight="1">
      <c r="A34" s="114" t="s">
        <v>90</v>
      </c>
      <c r="B34" s="115" t="str">
        <f>"310"</f>
        <v>310</v>
      </c>
      <c r="C34" s="116">
        <f>'свод бюджет'!W135</f>
        <v>1025.9</v>
      </c>
      <c r="D34" s="116">
        <f>'0800 пред'!S13</f>
        <v>0</v>
      </c>
      <c r="E34" s="117">
        <f>C34+D34</f>
        <v>1025.9</v>
      </c>
    </row>
    <row r="35" spans="1:5" s="101" customFormat="1" ht="29.25" customHeight="1">
      <c r="A35" s="114" t="s">
        <v>476</v>
      </c>
      <c r="B35" s="115">
        <v>320</v>
      </c>
      <c r="C35" s="116">
        <f>'свод бюджет'!X135</f>
        <v>0</v>
      </c>
      <c r="D35" s="116"/>
      <c r="E35" s="117">
        <f>C35</f>
        <v>0</v>
      </c>
    </row>
    <row r="36" spans="1:5" s="101" customFormat="1" ht="31.5" customHeight="1">
      <c r="A36" s="114" t="s">
        <v>91</v>
      </c>
      <c r="B36" s="115" t="str">
        <f>"340"</f>
        <v>340</v>
      </c>
      <c r="C36" s="721">
        <f>'свод бюджет'!Y135</f>
        <v>23645.649999999998</v>
      </c>
      <c r="D36" s="116">
        <f>'0800 пред'!T13</f>
        <v>2</v>
      </c>
      <c r="E36" s="722">
        <f>C36+D36</f>
        <v>23647.649999999998</v>
      </c>
    </row>
    <row r="37" spans="1:5" s="40" customFormat="1" ht="42" customHeight="1" hidden="1">
      <c r="A37" s="110" t="s">
        <v>92</v>
      </c>
      <c r="B37" s="111" t="str">
        <f>"540"</f>
        <v>540</v>
      </c>
      <c r="C37" s="118"/>
      <c r="D37" s="118"/>
      <c r="E37" s="119">
        <f>C37+D37</f>
        <v>0</v>
      </c>
    </row>
    <row r="38" spans="1:5" s="40" customFormat="1" ht="42.75" customHeight="1" hidden="1" thickBot="1">
      <c r="A38" s="120" t="s">
        <v>93</v>
      </c>
      <c r="B38" s="121" t="str">
        <f>"640"</f>
        <v>640</v>
      </c>
      <c r="C38" s="122"/>
      <c r="D38" s="122"/>
      <c r="E38" s="123">
        <f>C38+D38</f>
        <v>0</v>
      </c>
    </row>
    <row r="39" spans="3:5" s="101" customFormat="1" ht="15">
      <c r="C39" s="124"/>
      <c r="D39" s="124"/>
      <c r="E39" s="124"/>
    </row>
    <row r="40" spans="3:5" ht="15">
      <c r="C40" s="125"/>
      <c r="D40" s="125"/>
      <c r="E40" s="125"/>
    </row>
    <row r="41" spans="3:5" ht="15">
      <c r="C41" s="125"/>
      <c r="D41" s="125"/>
      <c r="E41" s="125"/>
    </row>
    <row r="42" spans="1:5" ht="15">
      <c r="A42" s="126" t="s">
        <v>687</v>
      </c>
      <c r="C42" s="125"/>
      <c r="D42" s="125"/>
      <c r="E42" s="125"/>
    </row>
    <row r="43" spans="1:5" ht="15">
      <c r="A43" s="26"/>
      <c r="C43" s="125"/>
      <c r="D43" s="125"/>
      <c r="E43" s="125"/>
    </row>
    <row r="44" spans="3:5" ht="15">
      <c r="C44" s="125"/>
      <c r="D44" s="125"/>
      <c r="E44" s="125"/>
    </row>
    <row r="45" spans="3:5" ht="15">
      <c r="C45" s="125"/>
      <c r="D45" s="125"/>
      <c r="E45" s="125"/>
    </row>
    <row r="46" spans="3:5" ht="15">
      <c r="C46" s="125"/>
      <c r="D46" s="125"/>
      <c r="E46" s="125"/>
    </row>
    <row r="47" spans="3:5" ht="15">
      <c r="C47" s="125"/>
      <c r="D47" s="125"/>
      <c r="E47" s="125"/>
    </row>
    <row r="48" spans="3:5" ht="15">
      <c r="C48" s="125"/>
      <c r="D48" s="125"/>
      <c r="E48" s="125"/>
    </row>
    <row r="49" spans="3:5" ht="15">
      <c r="C49" s="125"/>
      <c r="D49" s="125"/>
      <c r="E49" s="125"/>
    </row>
    <row r="50" spans="3:5" ht="15">
      <c r="C50" s="125"/>
      <c r="D50" s="125"/>
      <c r="E50" s="125"/>
    </row>
    <row r="51" spans="3:5" ht="15">
      <c r="C51" s="125"/>
      <c r="D51" s="125"/>
      <c r="E51" s="125"/>
    </row>
    <row r="52" spans="3:5" ht="15">
      <c r="C52" s="125"/>
      <c r="D52" s="125"/>
      <c r="E52" s="125"/>
    </row>
    <row r="53" spans="3:5" ht="15">
      <c r="C53" s="125"/>
      <c r="D53" s="125"/>
      <c r="E53" s="125"/>
    </row>
    <row r="54" spans="3:5" ht="15">
      <c r="C54" s="125"/>
      <c r="D54" s="125"/>
      <c r="E54" s="125"/>
    </row>
    <row r="55" spans="3:5" ht="15">
      <c r="C55" s="125"/>
      <c r="D55" s="125"/>
      <c r="E55" s="125"/>
    </row>
    <row r="56" spans="3:5" ht="15">
      <c r="C56" s="125"/>
      <c r="D56" s="125"/>
      <c r="E56" s="125"/>
    </row>
    <row r="57" spans="3:5" ht="15">
      <c r="C57" s="125"/>
      <c r="D57" s="125"/>
      <c r="E57" s="125"/>
    </row>
    <row r="58" spans="3:5" ht="15">
      <c r="C58" s="125"/>
      <c r="D58" s="125"/>
      <c r="E58" s="125"/>
    </row>
    <row r="59" spans="3:5" ht="15">
      <c r="C59" s="125"/>
      <c r="D59" s="125"/>
      <c r="E59" s="125"/>
    </row>
    <row r="60" spans="3:5" ht="15">
      <c r="C60" s="125"/>
      <c r="D60" s="125"/>
      <c r="E60" s="125"/>
    </row>
    <row r="61" spans="3:5" ht="15">
      <c r="C61" s="125"/>
      <c r="D61" s="125"/>
      <c r="E61" s="125"/>
    </row>
    <row r="62" spans="3:5" ht="15">
      <c r="C62" s="125"/>
      <c r="D62" s="125"/>
      <c r="E62" s="125"/>
    </row>
    <row r="63" spans="3:5" ht="15">
      <c r="C63" s="125"/>
      <c r="D63" s="125"/>
      <c r="E63" s="125"/>
    </row>
  </sheetData>
  <sheetProtection/>
  <mergeCells count="1">
    <mergeCell ref="A6:E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3"/>
  <sheetViews>
    <sheetView view="pageBreakPreview" zoomScaleSheetLayoutView="100" zoomScalePageLayoutView="0" workbookViewId="0" topLeftCell="A1">
      <selection activeCell="D59" sqref="D59"/>
    </sheetView>
  </sheetViews>
  <sheetFormatPr defaultColWidth="16.625" defaultRowHeight="12.75"/>
  <cols>
    <col min="1" max="1" width="42.00390625" style="127" customWidth="1"/>
    <col min="2" max="2" width="14.25390625" style="748" customWidth="1"/>
    <col min="3" max="3" width="13.125" style="1" customWidth="1"/>
    <col min="4" max="4" width="13.875" style="1" customWidth="1"/>
    <col min="5" max="5" width="13.625" style="1" customWidth="1"/>
    <col min="6" max="16384" width="16.625" style="1" customWidth="1"/>
  </cols>
  <sheetData>
    <row r="1" spans="2:5" ht="18" customHeight="1">
      <c r="B1" s="4"/>
      <c r="C1" s="127" t="s">
        <v>94</v>
      </c>
      <c r="D1" s="6"/>
      <c r="E1" s="127"/>
    </row>
    <row r="2" spans="2:5" ht="15.75" customHeight="1">
      <c r="B2" s="746"/>
      <c r="C2" s="127" t="s">
        <v>546</v>
      </c>
      <c r="D2" s="4"/>
      <c r="E2" s="127"/>
    </row>
    <row r="3" spans="2:5" ht="15" customHeight="1">
      <c r="B3" s="4"/>
      <c r="C3" s="127" t="s">
        <v>1225</v>
      </c>
      <c r="D3" s="4"/>
      <c r="E3" s="127"/>
    </row>
    <row r="4" spans="2:5" ht="18.75" customHeight="1">
      <c r="B4" s="4"/>
      <c r="C4" s="3" t="str">
        <f>доходы!B3</f>
        <v>от 5.03.2012 №5</v>
      </c>
      <c r="D4" s="3"/>
      <c r="E4" s="548"/>
    </row>
    <row r="5" spans="2:5" ht="15.75" customHeight="1">
      <c r="B5" s="4"/>
      <c r="C5" s="3"/>
      <c r="D5" s="3"/>
      <c r="E5" s="127"/>
    </row>
    <row r="6" spans="1:5" ht="52.5" customHeight="1">
      <c r="A6" s="1142" t="s">
        <v>1251</v>
      </c>
      <c r="B6" s="1142"/>
      <c r="C6" s="1142"/>
      <c r="D6" s="1142"/>
      <c r="E6" s="1142"/>
    </row>
    <row r="7" spans="2:5" ht="15.75">
      <c r="B7" s="4"/>
      <c r="C7" s="128"/>
      <c r="D7" s="82"/>
      <c r="E7" s="127"/>
    </row>
    <row r="8" spans="1:5" s="131" customFormat="1" ht="18.75">
      <c r="A8" s="127"/>
      <c r="B8" s="747"/>
      <c r="C8" s="127"/>
      <c r="D8" s="127"/>
      <c r="E8" s="130" t="s">
        <v>29</v>
      </c>
    </row>
    <row r="9" spans="1:5" s="49" customFormat="1" ht="126" customHeight="1" thickBot="1">
      <c r="A9" s="132" t="s">
        <v>30</v>
      </c>
      <c r="B9" s="133" t="s">
        <v>95</v>
      </c>
      <c r="C9" s="133" t="s">
        <v>32</v>
      </c>
      <c r="D9" s="133" t="s">
        <v>633</v>
      </c>
      <c r="E9" s="133" t="s">
        <v>634</v>
      </c>
    </row>
    <row r="10" spans="1:6" s="134" customFormat="1" ht="30" customHeight="1">
      <c r="A10" s="387" t="s">
        <v>638</v>
      </c>
      <c r="B10" s="376"/>
      <c r="C10" s="888">
        <f>C11+C13++C19+C20+C23+C25+C24+C26+C30+C36+C71+C48+C59+C65+C67+C68+C73+C79+C32+C69+C66</f>
        <v>3673.72</v>
      </c>
      <c r="D10" s="751">
        <f>D11+D13++D19+D20+D23+D24+D26+D30+D36+D71+D48+D59+D65+D67+D68+D73+D79+D32+D69</f>
        <v>20</v>
      </c>
      <c r="E10" s="888">
        <f>E11+E13++E19+E20+E23+E24+E26+E30+E36+E71+E48+E59+E65+E67+E68+E73+E79+E32+E69+E66</f>
        <v>3693.72</v>
      </c>
      <c r="F10" s="363"/>
    </row>
    <row r="11" spans="1:6" s="134" customFormat="1" ht="34.5" customHeight="1">
      <c r="A11" s="384" t="s">
        <v>431</v>
      </c>
      <c r="B11" s="377" t="s">
        <v>739</v>
      </c>
      <c r="C11" s="773">
        <v>140.1</v>
      </c>
      <c r="D11" s="774"/>
      <c r="E11" s="758">
        <f>C11+D11</f>
        <v>140.1</v>
      </c>
      <c r="F11" s="363"/>
    </row>
    <row r="12" spans="1:5" s="49" customFormat="1" ht="50.25" customHeight="1">
      <c r="A12" s="385" t="s">
        <v>183</v>
      </c>
      <c r="B12" s="378" t="s">
        <v>645</v>
      </c>
      <c r="C12" s="775">
        <v>140.1</v>
      </c>
      <c r="D12" s="776"/>
      <c r="E12" s="769">
        <f aca="true" t="shared" si="0" ref="E12:E78">C12+D12</f>
        <v>140.1</v>
      </c>
    </row>
    <row r="13" spans="1:5" s="49" customFormat="1" ht="25.5" customHeight="1">
      <c r="A13" s="384" t="s">
        <v>741</v>
      </c>
      <c r="B13" s="379" t="s">
        <v>693</v>
      </c>
      <c r="C13" s="754">
        <f>C14+C18</f>
        <v>1770.9</v>
      </c>
      <c r="D13" s="755"/>
      <c r="E13" s="752">
        <f t="shared" si="0"/>
        <v>1770.9</v>
      </c>
    </row>
    <row r="14" spans="1:5" s="49" customFormat="1" ht="22.5" customHeight="1">
      <c r="A14" s="362" t="s">
        <v>184</v>
      </c>
      <c r="B14" s="380" t="s">
        <v>187</v>
      </c>
      <c r="C14" s="753">
        <v>428</v>
      </c>
      <c r="D14" s="756"/>
      <c r="E14" s="753">
        <f t="shared" si="0"/>
        <v>428</v>
      </c>
    </row>
    <row r="15" spans="1:5" s="49" customFormat="1" ht="37.5" customHeight="1" hidden="1">
      <c r="A15" s="362" t="s">
        <v>96</v>
      </c>
      <c r="B15" s="380" t="s">
        <v>97</v>
      </c>
      <c r="C15" s="753"/>
      <c r="D15" s="756"/>
      <c r="E15" s="753">
        <f t="shared" si="0"/>
        <v>0</v>
      </c>
    </row>
    <row r="16" spans="1:5" s="49" customFormat="1" ht="70.5" customHeight="1" hidden="1">
      <c r="A16" s="362" t="s">
        <v>98</v>
      </c>
      <c r="B16" s="380" t="s">
        <v>99</v>
      </c>
      <c r="C16" s="753"/>
      <c r="D16" s="756"/>
      <c r="E16" s="753">
        <f t="shared" si="0"/>
        <v>0</v>
      </c>
    </row>
    <row r="17" spans="1:5" s="49" customFormat="1" ht="60.75" customHeight="1" hidden="1">
      <c r="A17" s="362" t="s">
        <v>100</v>
      </c>
      <c r="B17" s="380" t="s">
        <v>101</v>
      </c>
      <c r="C17" s="753"/>
      <c r="D17" s="756"/>
      <c r="E17" s="753">
        <f t="shared" si="0"/>
        <v>0</v>
      </c>
    </row>
    <row r="18" spans="1:5" s="49" customFormat="1" ht="24" customHeight="1">
      <c r="A18" s="362" t="s">
        <v>185</v>
      </c>
      <c r="B18" s="380" t="s">
        <v>188</v>
      </c>
      <c r="C18" s="753">
        <v>1342.9</v>
      </c>
      <c r="D18" s="756"/>
      <c r="E18" s="753">
        <f t="shared" si="0"/>
        <v>1342.9</v>
      </c>
    </row>
    <row r="19" spans="1:5" s="134" customFormat="1" ht="48.75" customHeight="1">
      <c r="A19" s="387" t="s">
        <v>948</v>
      </c>
      <c r="B19" s="381" t="s">
        <v>947</v>
      </c>
      <c r="C19" s="752"/>
      <c r="D19" s="757"/>
      <c r="E19" s="752">
        <f>C19</f>
        <v>0</v>
      </c>
    </row>
    <row r="20" spans="1:5" s="49" customFormat="1" ht="18.75" customHeight="1">
      <c r="A20" s="384" t="s">
        <v>54</v>
      </c>
      <c r="B20" s="381" t="s">
        <v>740</v>
      </c>
      <c r="C20" s="799">
        <f>C21</f>
        <v>0</v>
      </c>
      <c r="D20" s="757"/>
      <c r="E20" s="752">
        <f t="shared" si="0"/>
        <v>0</v>
      </c>
    </row>
    <row r="21" spans="1:5" s="49" customFormat="1" ht="36.75" customHeight="1">
      <c r="A21" s="362" t="s">
        <v>186</v>
      </c>
      <c r="B21" s="380" t="s">
        <v>642</v>
      </c>
      <c r="C21" s="798"/>
      <c r="D21" s="756"/>
      <c r="E21" s="753">
        <f t="shared" si="0"/>
        <v>0</v>
      </c>
    </row>
    <row r="22" spans="1:5" s="49" customFormat="1" ht="30" customHeight="1" hidden="1">
      <c r="A22" s="362" t="s">
        <v>102</v>
      </c>
      <c r="B22" s="382">
        <v>2020000</v>
      </c>
      <c r="C22" s="753"/>
      <c r="D22" s="756"/>
      <c r="E22" s="752">
        <f t="shared" si="0"/>
        <v>0</v>
      </c>
    </row>
    <row r="23" spans="1:5" s="49" customFormat="1" ht="51.75" customHeight="1">
      <c r="A23" s="362" t="s">
        <v>529</v>
      </c>
      <c r="B23" s="382" t="s">
        <v>537</v>
      </c>
      <c r="C23" s="769">
        <f>'свод бюджет'!P59</f>
        <v>0</v>
      </c>
      <c r="D23" s="770"/>
      <c r="E23" s="758">
        <f t="shared" si="0"/>
        <v>0</v>
      </c>
    </row>
    <row r="24" spans="1:5" s="134" customFormat="1" ht="36" customHeight="1">
      <c r="A24" s="362" t="s">
        <v>529</v>
      </c>
      <c r="B24" s="382" t="s">
        <v>537</v>
      </c>
      <c r="C24" s="758">
        <f>'свод бюджет'!P64</f>
        <v>0</v>
      </c>
      <c r="D24" s="768"/>
      <c r="E24" s="758">
        <f>C24</f>
        <v>0</v>
      </c>
    </row>
    <row r="25" spans="1:5" s="134" customFormat="1" ht="36" customHeight="1" hidden="1">
      <c r="A25" s="362" t="s">
        <v>561</v>
      </c>
      <c r="B25" s="382" t="s">
        <v>691</v>
      </c>
      <c r="C25" s="758"/>
      <c r="D25" s="768"/>
      <c r="E25" s="758"/>
    </row>
    <row r="26" spans="1:5" s="49" customFormat="1" ht="36" customHeight="1">
      <c r="A26" s="384" t="s">
        <v>742</v>
      </c>
      <c r="B26" s="383" t="s">
        <v>744</v>
      </c>
      <c r="C26" s="758"/>
      <c r="D26" s="768"/>
      <c r="E26" s="758">
        <f t="shared" si="0"/>
        <v>0</v>
      </c>
    </row>
    <row r="27" spans="1:5" s="49" customFormat="1" ht="43.5" customHeight="1">
      <c r="A27" s="386" t="s">
        <v>331</v>
      </c>
      <c r="B27" s="382" t="s">
        <v>639</v>
      </c>
      <c r="C27" s="769"/>
      <c r="D27" s="770"/>
      <c r="E27" s="769">
        <f t="shared" si="0"/>
        <v>0</v>
      </c>
    </row>
    <row r="28" spans="1:5" s="49" customFormat="1" ht="22.5" customHeight="1" hidden="1">
      <c r="A28" s="362" t="s">
        <v>103</v>
      </c>
      <c r="B28" s="382">
        <v>3100000</v>
      </c>
      <c r="C28" s="769"/>
      <c r="D28" s="770"/>
      <c r="E28" s="769">
        <f t="shared" si="0"/>
        <v>0</v>
      </c>
    </row>
    <row r="29" spans="1:5" s="49" customFormat="1" ht="48.75" customHeight="1">
      <c r="A29" s="362" t="s">
        <v>743</v>
      </c>
      <c r="B29" s="382" t="s">
        <v>922</v>
      </c>
      <c r="C29" s="769"/>
      <c r="D29" s="770"/>
      <c r="E29" s="769">
        <f t="shared" si="0"/>
        <v>0</v>
      </c>
    </row>
    <row r="30" spans="1:5" s="49" customFormat="1" ht="40.5" customHeight="1" hidden="1">
      <c r="A30" s="384" t="s">
        <v>113</v>
      </c>
      <c r="B30" s="383" t="s">
        <v>641</v>
      </c>
      <c r="C30" s="752">
        <f>C31</f>
        <v>0</v>
      </c>
      <c r="D30" s="757"/>
      <c r="E30" s="752">
        <f t="shared" si="0"/>
        <v>0</v>
      </c>
    </row>
    <row r="31" spans="1:5" s="49" customFormat="1" ht="36" customHeight="1" hidden="1">
      <c r="A31" s="385" t="s">
        <v>113</v>
      </c>
      <c r="B31" s="382" t="s">
        <v>641</v>
      </c>
      <c r="C31" s="753"/>
      <c r="D31" s="756"/>
      <c r="E31" s="753">
        <f t="shared" si="0"/>
        <v>0</v>
      </c>
    </row>
    <row r="32" spans="1:5" ht="15.75">
      <c r="A32" s="745" t="s">
        <v>692</v>
      </c>
      <c r="B32" s="723" t="s">
        <v>560</v>
      </c>
      <c r="C32" s="772"/>
      <c r="D32" s="771"/>
      <c r="E32" s="758">
        <f t="shared" si="0"/>
        <v>0</v>
      </c>
    </row>
    <row r="33" spans="1:5" s="49" customFormat="1" ht="19.5" customHeight="1" hidden="1">
      <c r="A33" s="362" t="s">
        <v>104</v>
      </c>
      <c r="B33" s="382">
        <v>3500000</v>
      </c>
      <c r="C33" s="753"/>
      <c r="D33" s="756"/>
      <c r="E33" s="752">
        <f t="shared" si="0"/>
        <v>0</v>
      </c>
    </row>
    <row r="34" spans="1:5" s="49" customFormat="1" ht="19.5" customHeight="1" hidden="1">
      <c r="A34" s="387" t="s">
        <v>55</v>
      </c>
      <c r="B34" s="383" t="s">
        <v>379</v>
      </c>
      <c r="C34" s="752">
        <f>C35</f>
        <v>98.36028</v>
      </c>
      <c r="D34" s="757"/>
      <c r="E34" s="752">
        <f>C34</f>
        <v>98.36028</v>
      </c>
    </row>
    <row r="35" spans="1:5" s="49" customFormat="1" ht="95.25" customHeight="1" hidden="1">
      <c r="A35" s="570" t="s">
        <v>381</v>
      </c>
      <c r="B35" s="382" t="s">
        <v>380</v>
      </c>
      <c r="C35" s="753">
        <f>'свод бюджет'!Z41</f>
        <v>98.36028</v>
      </c>
      <c r="D35" s="756"/>
      <c r="E35" s="752">
        <f>C35</f>
        <v>98.36028</v>
      </c>
    </row>
    <row r="36" spans="1:5" s="49" customFormat="1" ht="24.75" customHeight="1">
      <c r="A36" s="384" t="s">
        <v>432</v>
      </c>
      <c r="B36" s="383" t="s">
        <v>925</v>
      </c>
      <c r="C36" s="799">
        <f>SUM(C45:C47)</f>
        <v>85</v>
      </c>
      <c r="D36" s="757"/>
      <c r="E36" s="799">
        <f t="shared" si="0"/>
        <v>85</v>
      </c>
    </row>
    <row r="37" spans="1:5" s="49" customFormat="1" ht="80.25" customHeight="1" hidden="1">
      <c r="A37" s="385" t="s">
        <v>177</v>
      </c>
      <c r="B37" s="382" t="s">
        <v>640</v>
      </c>
      <c r="C37" s="753">
        <f>'свод бюджет'!Z71</f>
        <v>0</v>
      </c>
      <c r="D37" s="756"/>
      <c r="E37" s="798">
        <f t="shared" si="0"/>
        <v>0</v>
      </c>
    </row>
    <row r="38" spans="1:5" s="49" customFormat="1" ht="30.75" customHeight="1" hidden="1">
      <c r="A38" s="362" t="s">
        <v>105</v>
      </c>
      <c r="B38" s="382">
        <v>4120000</v>
      </c>
      <c r="C38" s="753"/>
      <c r="D38" s="756"/>
      <c r="E38" s="798">
        <f t="shared" si="0"/>
        <v>0</v>
      </c>
    </row>
    <row r="39" spans="1:5" s="49" customFormat="1" ht="24" customHeight="1" hidden="1">
      <c r="A39" s="362" t="s">
        <v>107</v>
      </c>
      <c r="B39" s="382">
        <v>4200000</v>
      </c>
      <c r="C39" s="753"/>
      <c r="D39" s="756"/>
      <c r="E39" s="798">
        <f t="shared" si="0"/>
        <v>0</v>
      </c>
    </row>
    <row r="40" spans="1:5" s="49" customFormat="1" ht="32.25" customHeight="1" hidden="1">
      <c r="A40" s="362" t="s">
        <v>108</v>
      </c>
      <c r="B40" s="382">
        <v>4210000</v>
      </c>
      <c r="C40" s="753"/>
      <c r="D40" s="756"/>
      <c r="E40" s="798">
        <f t="shared" si="0"/>
        <v>0</v>
      </c>
    </row>
    <row r="41" spans="1:5" s="49" customFormat="1" ht="29.25" customHeight="1" hidden="1">
      <c r="A41" s="362" t="s">
        <v>109</v>
      </c>
      <c r="B41" s="382">
        <v>4230000</v>
      </c>
      <c r="C41" s="753"/>
      <c r="D41" s="756"/>
      <c r="E41" s="798">
        <f t="shared" si="0"/>
        <v>0</v>
      </c>
    </row>
    <row r="42" spans="1:5" s="49" customFormat="1" ht="30" customHeight="1" hidden="1">
      <c r="A42" s="362" t="s">
        <v>110</v>
      </c>
      <c r="B42" s="382">
        <v>4290000</v>
      </c>
      <c r="C42" s="753"/>
      <c r="D42" s="756"/>
      <c r="E42" s="798">
        <f t="shared" si="0"/>
        <v>0</v>
      </c>
    </row>
    <row r="43" spans="1:5" s="49" customFormat="1" ht="30" customHeight="1" hidden="1">
      <c r="A43" s="362" t="s">
        <v>111</v>
      </c>
      <c r="B43" s="382">
        <v>4310000</v>
      </c>
      <c r="C43" s="753"/>
      <c r="D43" s="756"/>
      <c r="E43" s="798">
        <f t="shared" si="0"/>
        <v>0</v>
      </c>
    </row>
    <row r="44" spans="1:5" s="49" customFormat="1" ht="45.75" customHeight="1" hidden="1">
      <c r="A44" s="362" t="s">
        <v>112</v>
      </c>
      <c r="B44" s="382">
        <v>4320000</v>
      </c>
      <c r="C44" s="753"/>
      <c r="D44" s="756"/>
      <c r="E44" s="798">
        <f t="shared" si="0"/>
        <v>0</v>
      </c>
    </row>
    <row r="45" spans="1:5" s="49" customFormat="1" ht="32.25" customHeight="1">
      <c r="A45" s="385" t="s">
        <v>178</v>
      </c>
      <c r="B45" s="382" t="s">
        <v>924</v>
      </c>
      <c r="C45" s="798">
        <v>85</v>
      </c>
      <c r="D45" s="756"/>
      <c r="E45" s="798">
        <f t="shared" si="0"/>
        <v>85</v>
      </c>
    </row>
    <row r="46" spans="1:5" ht="15.75" hidden="1">
      <c r="A46" s="745"/>
      <c r="C46" s="760"/>
      <c r="D46" s="760"/>
      <c r="E46" s="752">
        <f t="shared" si="0"/>
        <v>0</v>
      </c>
    </row>
    <row r="47" spans="1:5" ht="31.5">
      <c r="A47" s="375" t="s">
        <v>576</v>
      </c>
      <c r="B47" s="571" t="s">
        <v>923</v>
      </c>
      <c r="C47" s="761">
        <v>0</v>
      </c>
      <c r="D47" s="759"/>
      <c r="E47" s="753">
        <f>C47</f>
        <v>0</v>
      </c>
    </row>
    <row r="48" spans="1:5" ht="47.25">
      <c r="A48" s="384" t="s">
        <v>746</v>
      </c>
      <c r="B48" s="572" t="s">
        <v>745</v>
      </c>
      <c r="C48" s="617">
        <f>C49</f>
        <v>676.6</v>
      </c>
      <c r="D48" s="617">
        <f>D49</f>
        <v>20</v>
      </c>
      <c r="E48" s="762">
        <f t="shared" si="0"/>
        <v>696.6</v>
      </c>
    </row>
    <row r="49" spans="1:5" s="49" customFormat="1" ht="36" customHeight="1">
      <c r="A49" s="385" t="s">
        <v>61</v>
      </c>
      <c r="B49" s="382" t="s">
        <v>643</v>
      </c>
      <c r="C49" s="753">
        <v>676.6</v>
      </c>
      <c r="D49" s="756">
        <v>20</v>
      </c>
      <c r="E49" s="753">
        <f t="shared" si="0"/>
        <v>696.6</v>
      </c>
    </row>
    <row r="50" spans="1:5" s="49" customFormat="1" ht="21.75" customHeight="1" hidden="1">
      <c r="A50" s="362" t="s">
        <v>114</v>
      </c>
      <c r="B50" s="382">
        <v>4410000</v>
      </c>
      <c r="C50" s="753"/>
      <c r="D50" s="756"/>
      <c r="E50" s="752">
        <f t="shared" si="0"/>
        <v>0</v>
      </c>
    </row>
    <row r="51" spans="1:5" s="49" customFormat="1" ht="18" customHeight="1" hidden="1">
      <c r="A51" s="362" t="s">
        <v>115</v>
      </c>
      <c r="B51" s="382">
        <v>4420000</v>
      </c>
      <c r="C51" s="753"/>
      <c r="D51" s="756"/>
      <c r="E51" s="752">
        <f t="shared" si="0"/>
        <v>0</v>
      </c>
    </row>
    <row r="52" spans="1:5" s="49" customFormat="1" ht="49.5" customHeight="1" hidden="1">
      <c r="A52" s="362" t="s">
        <v>116</v>
      </c>
      <c r="B52" s="382">
        <v>4500000</v>
      </c>
      <c r="C52" s="753"/>
      <c r="D52" s="756"/>
      <c r="E52" s="752">
        <f t="shared" si="0"/>
        <v>0</v>
      </c>
    </row>
    <row r="53" spans="1:5" s="49" customFormat="1" ht="66.75" customHeight="1" hidden="1">
      <c r="A53" s="362" t="s">
        <v>117</v>
      </c>
      <c r="B53" s="382">
        <v>4520000</v>
      </c>
      <c r="C53" s="753"/>
      <c r="D53" s="756"/>
      <c r="E53" s="752">
        <f t="shared" si="0"/>
        <v>0</v>
      </c>
    </row>
    <row r="54" spans="1:5" s="49" customFormat="1" ht="21.75" customHeight="1" hidden="1">
      <c r="A54" s="362" t="s">
        <v>118</v>
      </c>
      <c r="B54" s="382">
        <v>4530000</v>
      </c>
      <c r="C54" s="753"/>
      <c r="D54" s="756"/>
      <c r="E54" s="752">
        <f t="shared" si="0"/>
        <v>0</v>
      </c>
    </row>
    <row r="55" spans="1:5" s="49" customFormat="1" ht="51.75" customHeight="1" hidden="1">
      <c r="A55" s="362" t="s">
        <v>120</v>
      </c>
      <c r="B55" s="382">
        <v>4570000</v>
      </c>
      <c r="C55" s="753"/>
      <c r="D55" s="756"/>
      <c r="E55" s="752">
        <f t="shared" si="0"/>
        <v>0</v>
      </c>
    </row>
    <row r="56" spans="1:5" s="49" customFormat="1" ht="30" customHeight="1" hidden="1">
      <c r="A56" s="362" t="s">
        <v>121</v>
      </c>
      <c r="B56" s="382">
        <v>4700000</v>
      </c>
      <c r="C56" s="753"/>
      <c r="D56" s="756"/>
      <c r="E56" s="752">
        <f t="shared" si="0"/>
        <v>0</v>
      </c>
    </row>
    <row r="57" spans="1:5" s="49" customFormat="1" ht="15.75" customHeight="1" hidden="1">
      <c r="A57" s="362" t="s">
        <v>122</v>
      </c>
      <c r="B57" s="382">
        <v>4900000</v>
      </c>
      <c r="C57" s="753"/>
      <c r="D57" s="756"/>
      <c r="E57" s="752">
        <f t="shared" si="0"/>
        <v>0</v>
      </c>
    </row>
    <row r="58" spans="1:5" s="49" customFormat="1" ht="23.25" customHeight="1" hidden="1">
      <c r="A58" s="362" t="s">
        <v>123</v>
      </c>
      <c r="B58" s="382">
        <v>5050000</v>
      </c>
      <c r="C58" s="753"/>
      <c r="D58" s="756"/>
      <c r="E58" s="752">
        <f t="shared" si="0"/>
        <v>0</v>
      </c>
    </row>
    <row r="59" spans="1:5" s="49" customFormat="1" ht="35.25" customHeight="1">
      <c r="A59" s="384" t="s">
        <v>748</v>
      </c>
      <c r="B59" s="383" t="s">
        <v>747</v>
      </c>
      <c r="C59" s="758">
        <f>C60</f>
        <v>123.6</v>
      </c>
      <c r="D59" s="768"/>
      <c r="E59" s="758">
        <f t="shared" si="0"/>
        <v>123.6</v>
      </c>
    </row>
    <row r="60" spans="1:5" s="49" customFormat="1" ht="50.25" customHeight="1">
      <c r="A60" s="385" t="s">
        <v>181</v>
      </c>
      <c r="B60" s="382" t="s">
        <v>644</v>
      </c>
      <c r="C60" s="769">
        <v>123.6</v>
      </c>
      <c r="D60" s="770"/>
      <c r="E60" s="769">
        <f t="shared" si="0"/>
        <v>123.6</v>
      </c>
    </row>
    <row r="61" spans="1:5" ht="15.75" hidden="1">
      <c r="A61" s="745"/>
      <c r="C61" s="771"/>
      <c r="D61" s="771"/>
      <c r="E61" s="758">
        <f t="shared" si="0"/>
        <v>0</v>
      </c>
    </row>
    <row r="62" spans="1:5" s="49" customFormat="1" ht="38.25" customHeight="1" hidden="1">
      <c r="A62" s="362" t="s">
        <v>124</v>
      </c>
      <c r="B62" s="382">
        <v>5140000</v>
      </c>
      <c r="C62" s="769"/>
      <c r="D62" s="770"/>
      <c r="E62" s="758">
        <f t="shared" si="0"/>
        <v>0</v>
      </c>
    </row>
    <row r="63" spans="1:5" s="49" customFormat="1" ht="38.25" customHeight="1" hidden="1">
      <c r="A63" s="362" t="s">
        <v>125</v>
      </c>
      <c r="B63" s="382">
        <v>5150000</v>
      </c>
      <c r="C63" s="769"/>
      <c r="D63" s="770"/>
      <c r="E63" s="758">
        <f t="shared" si="0"/>
        <v>0</v>
      </c>
    </row>
    <row r="64" spans="1:5" s="49" customFormat="1" ht="38.25" customHeight="1" hidden="1">
      <c r="A64" s="387"/>
      <c r="B64" s="383"/>
      <c r="C64" s="758"/>
      <c r="D64" s="768"/>
      <c r="E64" s="758">
        <f t="shared" si="0"/>
        <v>0</v>
      </c>
    </row>
    <row r="65" spans="1:5" s="49" customFormat="1" ht="38.25" customHeight="1">
      <c r="A65" s="387" t="s">
        <v>604</v>
      </c>
      <c r="B65" s="383" t="s">
        <v>605</v>
      </c>
      <c r="C65" s="758"/>
      <c r="D65" s="768"/>
      <c r="E65" s="758">
        <f>C65</f>
        <v>0</v>
      </c>
    </row>
    <row r="66" spans="1:5" s="49" customFormat="1" ht="51" customHeight="1">
      <c r="A66" s="387" t="s">
        <v>949</v>
      </c>
      <c r="B66" s="383" t="s">
        <v>950</v>
      </c>
      <c r="C66" s="887"/>
      <c r="D66" s="768"/>
      <c r="E66" s="887">
        <f>C66+D66</f>
        <v>0</v>
      </c>
    </row>
    <row r="67" spans="1:5" s="49" customFormat="1" ht="46.5" customHeight="1">
      <c r="A67" s="384" t="s">
        <v>180</v>
      </c>
      <c r="B67" s="383" t="s">
        <v>613</v>
      </c>
      <c r="C67" s="758"/>
      <c r="D67" s="768"/>
      <c r="E67" s="758">
        <f>C67+D67</f>
        <v>0</v>
      </c>
    </row>
    <row r="68" spans="1:5" s="49" customFormat="1" ht="62.25" customHeight="1">
      <c r="A68" s="384" t="s">
        <v>182</v>
      </c>
      <c r="B68" s="383" t="s">
        <v>378</v>
      </c>
      <c r="C68" s="758">
        <v>31.3</v>
      </c>
      <c r="D68" s="768"/>
      <c r="E68" s="758">
        <f t="shared" si="0"/>
        <v>31.3</v>
      </c>
    </row>
    <row r="69" spans="1:5" s="49" customFormat="1" ht="16.5" customHeight="1">
      <c r="A69" s="362" t="s">
        <v>126</v>
      </c>
      <c r="B69" s="382" t="s">
        <v>694</v>
      </c>
      <c r="C69" s="753">
        <f>C70+C72</f>
        <v>0</v>
      </c>
      <c r="D69" s="756"/>
      <c r="E69" s="752">
        <f t="shared" si="0"/>
        <v>0</v>
      </c>
    </row>
    <row r="70" spans="1:5" s="49" customFormat="1" ht="25.5" customHeight="1" hidden="1">
      <c r="A70" s="573" t="s">
        <v>538</v>
      </c>
      <c r="B70" s="383" t="s">
        <v>539</v>
      </c>
      <c r="C70" s="763"/>
      <c r="D70" s="757"/>
      <c r="E70" s="752">
        <f t="shared" si="0"/>
        <v>0</v>
      </c>
    </row>
    <row r="71" spans="1:5" s="49" customFormat="1" ht="30" customHeight="1">
      <c r="A71" s="387" t="s">
        <v>536</v>
      </c>
      <c r="B71" s="383" t="s">
        <v>539</v>
      </c>
      <c r="C71" s="749">
        <v>541.1</v>
      </c>
      <c r="D71" s="757"/>
      <c r="E71" s="752">
        <f t="shared" si="0"/>
        <v>541.1</v>
      </c>
    </row>
    <row r="72" spans="1:5" s="134" customFormat="1" ht="29.25" customHeight="1" hidden="1">
      <c r="A72" s="724" t="s">
        <v>561</v>
      </c>
      <c r="B72" s="383" t="s">
        <v>562</v>
      </c>
      <c r="C72" s="752"/>
      <c r="D72" s="757"/>
      <c r="E72" s="752">
        <f>C72</f>
        <v>0</v>
      </c>
    </row>
    <row r="73" spans="1:5" s="49" customFormat="1" ht="16.5" customHeight="1">
      <c r="A73" s="387" t="s">
        <v>56</v>
      </c>
      <c r="B73" s="383" t="s">
        <v>749</v>
      </c>
      <c r="C73" s="752">
        <f>C74+C75+C78+C76+C77</f>
        <v>70</v>
      </c>
      <c r="D73" s="757"/>
      <c r="E73" s="752">
        <f>C73+D73</f>
        <v>70</v>
      </c>
    </row>
    <row r="74" spans="1:5" s="10" customFormat="1" ht="18.75" customHeight="1">
      <c r="A74" s="385" t="s">
        <v>71</v>
      </c>
      <c r="B74" s="382" t="s">
        <v>646</v>
      </c>
      <c r="C74" s="764">
        <v>70</v>
      </c>
      <c r="D74" s="765"/>
      <c r="E74" s="753">
        <f t="shared" si="0"/>
        <v>70</v>
      </c>
    </row>
    <row r="75" spans="1:5" s="10" customFormat="1" ht="67.5" customHeight="1">
      <c r="A75" s="385" t="s">
        <v>430</v>
      </c>
      <c r="B75" s="382" t="s">
        <v>429</v>
      </c>
      <c r="C75" s="619">
        <f>'свод бюджет'!Z96</f>
        <v>0</v>
      </c>
      <c r="D75" s="765"/>
      <c r="E75" s="753">
        <f t="shared" si="0"/>
        <v>0</v>
      </c>
    </row>
    <row r="76" spans="1:5" s="10" customFormat="1" ht="22.5" customHeight="1">
      <c r="A76" s="385" t="s">
        <v>495</v>
      </c>
      <c r="B76" s="382" t="s">
        <v>520</v>
      </c>
      <c r="C76" s="619"/>
      <c r="D76" s="765"/>
      <c r="E76" s="753">
        <f>C76</f>
        <v>0</v>
      </c>
    </row>
    <row r="77" spans="1:5" s="10" customFormat="1" ht="22.5" customHeight="1">
      <c r="A77" s="573" t="s">
        <v>538</v>
      </c>
      <c r="B77" s="382" t="s">
        <v>790</v>
      </c>
      <c r="C77" s="753">
        <f>'свод бюджет'!Z102</f>
        <v>0</v>
      </c>
      <c r="D77" s="765"/>
      <c r="E77" s="753">
        <f>C77</f>
        <v>0</v>
      </c>
    </row>
    <row r="78" spans="1:5" s="10" customFormat="1" ht="47.25">
      <c r="A78" s="385" t="s">
        <v>179</v>
      </c>
      <c r="B78" s="382" t="s">
        <v>647</v>
      </c>
      <c r="C78" s="619"/>
      <c r="D78" s="766"/>
      <c r="E78" s="753">
        <f t="shared" si="0"/>
        <v>0</v>
      </c>
    </row>
    <row r="79" spans="1:5" s="10" customFormat="1" ht="31.5">
      <c r="A79" s="384" t="s">
        <v>577</v>
      </c>
      <c r="B79" s="574" t="s">
        <v>578</v>
      </c>
      <c r="C79" s="620">
        <v>235.12</v>
      </c>
      <c r="D79" s="767"/>
      <c r="E79" s="752">
        <f>C79</f>
        <v>235.12</v>
      </c>
    </row>
    <row r="80" spans="1:5" s="49" customFormat="1" ht="43.5" customHeight="1">
      <c r="A80" s="580" t="s">
        <v>687</v>
      </c>
      <c r="B80" s="304"/>
      <c r="C80" s="749"/>
      <c r="D80" s="749"/>
      <c r="E80" s="749"/>
    </row>
    <row r="81" spans="1:5" s="10" customFormat="1" ht="15.75">
      <c r="A81" s="85"/>
      <c r="B81" s="743"/>
      <c r="C81" s="750"/>
      <c r="D81" s="750"/>
      <c r="E81" s="750"/>
    </row>
    <row r="82" spans="1:5" s="10" customFormat="1" ht="15">
      <c r="A82" s="580"/>
      <c r="B82" s="743"/>
      <c r="C82" s="750"/>
      <c r="D82" s="750"/>
      <c r="E82" s="750"/>
    </row>
    <row r="83" spans="1:5" s="10" customFormat="1" ht="15">
      <c r="A83" s="580"/>
      <c r="B83" s="743"/>
      <c r="C83" s="750"/>
      <c r="D83" s="750"/>
      <c r="E83" s="750"/>
    </row>
    <row r="84" spans="1:5" s="10" customFormat="1" ht="15">
      <c r="A84" s="580"/>
      <c r="B84" s="743"/>
      <c r="C84" s="750"/>
      <c r="D84" s="750"/>
      <c r="E84" s="750"/>
    </row>
    <row r="85" spans="1:5" s="10" customFormat="1" ht="15">
      <c r="A85" s="580"/>
      <c r="B85" s="743"/>
      <c r="C85" s="750"/>
      <c r="D85" s="750"/>
      <c r="E85" s="750"/>
    </row>
    <row r="86" spans="1:5" s="10" customFormat="1" ht="15">
      <c r="A86" s="580"/>
      <c r="B86" s="743"/>
      <c r="C86" s="750"/>
      <c r="D86" s="750"/>
      <c r="E86" s="750"/>
    </row>
    <row r="87" spans="1:5" s="10" customFormat="1" ht="15">
      <c r="A87" s="580"/>
      <c r="B87" s="743"/>
      <c r="C87" s="750"/>
      <c r="D87" s="750"/>
      <c r="E87" s="750"/>
    </row>
    <row r="88" spans="1:5" s="10" customFormat="1" ht="15">
      <c r="A88" s="580"/>
      <c r="B88" s="743"/>
      <c r="C88" s="750"/>
      <c r="D88" s="750"/>
      <c r="E88" s="750"/>
    </row>
    <row r="89" spans="1:5" s="10" customFormat="1" ht="15">
      <c r="A89" s="580"/>
      <c r="B89" s="743"/>
      <c r="C89" s="750"/>
      <c r="D89" s="750"/>
      <c r="E89" s="750"/>
    </row>
    <row r="90" spans="1:5" s="10" customFormat="1" ht="15">
      <c r="A90" s="580"/>
      <c r="B90" s="743"/>
      <c r="C90" s="750"/>
      <c r="D90" s="750"/>
      <c r="E90" s="750"/>
    </row>
    <row r="91" spans="1:5" s="10" customFormat="1" ht="15">
      <c r="A91" s="580"/>
      <c r="B91" s="743"/>
      <c r="C91" s="750"/>
      <c r="D91" s="750"/>
      <c r="E91" s="750"/>
    </row>
    <row r="92" spans="1:5" s="10" customFormat="1" ht="15">
      <c r="A92" s="580"/>
      <c r="B92" s="743"/>
      <c r="C92" s="750"/>
      <c r="D92" s="750"/>
      <c r="E92" s="750"/>
    </row>
    <row r="93" spans="1:2" s="10" customFormat="1" ht="15">
      <c r="A93" s="580"/>
      <c r="B93" s="743"/>
    </row>
    <row r="94" spans="1:2" s="10" customFormat="1" ht="15">
      <c r="A94" s="580"/>
      <c r="B94" s="743"/>
    </row>
    <row r="95" spans="1:2" s="10" customFormat="1" ht="15">
      <c r="A95" s="580"/>
      <c r="B95" s="743"/>
    </row>
    <row r="96" spans="1:2" s="10" customFormat="1" ht="15">
      <c r="A96" s="580"/>
      <c r="B96" s="743"/>
    </row>
    <row r="97" spans="1:2" s="10" customFormat="1" ht="15">
      <c r="A97" s="580"/>
      <c r="B97" s="743"/>
    </row>
    <row r="98" spans="1:2" s="10" customFormat="1" ht="15">
      <c r="A98" s="580"/>
      <c r="B98" s="743"/>
    </row>
    <row r="99" spans="1:2" s="10" customFormat="1" ht="15">
      <c r="A99" s="580"/>
      <c r="B99" s="743"/>
    </row>
    <row r="100" spans="1:2" s="10" customFormat="1" ht="15">
      <c r="A100" s="580"/>
      <c r="B100" s="743"/>
    </row>
    <row r="101" spans="1:2" s="10" customFormat="1" ht="15">
      <c r="A101" s="580"/>
      <c r="B101" s="743"/>
    </row>
    <row r="102" spans="1:2" s="10" customFormat="1" ht="15">
      <c r="A102" s="580"/>
      <c r="B102" s="743"/>
    </row>
    <row r="103" spans="1:2" s="10" customFormat="1" ht="15">
      <c r="A103" s="580"/>
      <c r="B103" s="743"/>
    </row>
    <row r="104" spans="1:2" s="10" customFormat="1" ht="15">
      <c r="A104" s="580"/>
      <c r="B104" s="743"/>
    </row>
    <row r="105" spans="1:2" s="10" customFormat="1" ht="15">
      <c r="A105" s="580"/>
      <c r="B105" s="743"/>
    </row>
    <row r="106" spans="1:2" s="10" customFormat="1" ht="15">
      <c r="A106" s="580"/>
      <c r="B106" s="743"/>
    </row>
    <row r="107" spans="1:2" s="10" customFormat="1" ht="15">
      <c r="A107" s="580"/>
      <c r="B107" s="743"/>
    </row>
    <row r="108" spans="1:2" s="10" customFormat="1" ht="15">
      <c r="A108" s="580"/>
      <c r="B108" s="743"/>
    </row>
    <row r="109" spans="1:2" s="10" customFormat="1" ht="15">
      <c r="A109" s="580"/>
      <c r="B109" s="743"/>
    </row>
    <row r="110" spans="1:2" s="10" customFormat="1" ht="15">
      <c r="A110" s="580"/>
      <c r="B110" s="743"/>
    </row>
    <row r="111" spans="1:2" s="10" customFormat="1" ht="15">
      <c r="A111" s="580"/>
      <c r="B111" s="743"/>
    </row>
    <row r="112" spans="1:2" s="10" customFormat="1" ht="15">
      <c r="A112" s="580"/>
      <c r="B112" s="743"/>
    </row>
    <row r="113" spans="1:2" s="10" customFormat="1" ht="15">
      <c r="A113" s="580"/>
      <c r="B113" s="743"/>
    </row>
    <row r="114" spans="1:2" s="10" customFormat="1" ht="15">
      <c r="A114" s="580"/>
      <c r="B114" s="743"/>
    </row>
    <row r="115" spans="1:2" s="10" customFormat="1" ht="15">
      <c r="A115" s="580"/>
      <c r="B115" s="743"/>
    </row>
    <row r="116" spans="1:2" s="10" customFormat="1" ht="15">
      <c r="A116" s="580"/>
      <c r="B116" s="743"/>
    </row>
    <row r="117" spans="1:2" s="10" customFormat="1" ht="15">
      <c r="A117" s="580"/>
      <c r="B117" s="743"/>
    </row>
    <row r="118" spans="1:2" s="10" customFormat="1" ht="15">
      <c r="A118" s="580"/>
      <c r="B118" s="743"/>
    </row>
    <row r="119" spans="1:2" s="10" customFormat="1" ht="15">
      <c r="A119" s="580"/>
      <c r="B119" s="743"/>
    </row>
    <row r="120" spans="1:2" s="10" customFormat="1" ht="15">
      <c r="A120" s="580"/>
      <c r="B120" s="743"/>
    </row>
    <row r="121" spans="1:2" s="10" customFormat="1" ht="15">
      <c r="A121" s="580"/>
      <c r="B121" s="743"/>
    </row>
    <row r="122" spans="1:2" s="10" customFormat="1" ht="15">
      <c r="A122" s="580"/>
      <c r="B122" s="743"/>
    </row>
    <row r="123" spans="1:2" s="10" customFormat="1" ht="15">
      <c r="A123" s="580"/>
      <c r="B123" s="743"/>
    </row>
    <row r="124" spans="1:2" s="10" customFormat="1" ht="15">
      <c r="A124" s="580"/>
      <c r="B124" s="743"/>
    </row>
    <row r="125" spans="1:2" s="10" customFormat="1" ht="15">
      <c r="A125" s="580"/>
      <c r="B125" s="743"/>
    </row>
    <row r="126" spans="1:2" s="10" customFormat="1" ht="15">
      <c r="A126" s="580"/>
      <c r="B126" s="743"/>
    </row>
    <row r="127" spans="1:2" s="10" customFormat="1" ht="15">
      <c r="A127" s="580"/>
      <c r="B127" s="743"/>
    </row>
    <row r="128" spans="1:2" s="10" customFormat="1" ht="15">
      <c r="A128" s="580"/>
      <c r="B128" s="743"/>
    </row>
    <row r="129" spans="1:2" s="10" customFormat="1" ht="15">
      <c r="A129" s="580"/>
      <c r="B129" s="743"/>
    </row>
    <row r="130" spans="1:2" s="10" customFormat="1" ht="15">
      <c r="A130" s="580"/>
      <c r="B130" s="743"/>
    </row>
    <row r="131" spans="1:2" s="10" customFormat="1" ht="15">
      <c r="A131" s="580"/>
      <c r="B131" s="743"/>
    </row>
    <row r="132" spans="1:2" s="10" customFormat="1" ht="15">
      <c r="A132" s="580"/>
      <c r="B132" s="743"/>
    </row>
    <row r="133" spans="1:2" s="10" customFormat="1" ht="15">
      <c r="A133" s="580"/>
      <c r="B133" s="743"/>
    </row>
    <row r="134" spans="1:2" s="10" customFormat="1" ht="15">
      <c r="A134" s="580"/>
      <c r="B134" s="743"/>
    </row>
    <row r="135" spans="1:2" s="10" customFormat="1" ht="15">
      <c r="A135" s="580"/>
      <c r="B135" s="743"/>
    </row>
    <row r="136" spans="1:2" s="10" customFormat="1" ht="15">
      <c r="A136" s="580"/>
      <c r="B136" s="743"/>
    </row>
    <row r="137" spans="1:2" s="10" customFormat="1" ht="15">
      <c r="A137" s="580"/>
      <c r="B137" s="743"/>
    </row>
    <row r="138" spans="1:2" s="10" customFormat="1" ht="15">
      <c r="A138" s="580"/>
      <c r="B138" s="743"/>
    </row>
    <row r="139" spans="1:2" s="10" customFormat="1" ht="15">
      <c r="A139" s="580"/>
      <c r="B139" s="743"/>
    </row>
    <row r="140" spans="1:2" s="10" customFormat="1" ht="15">
      <c r="A140" s="580"/>
      <c r="B140" s="743"/>
    </row>
    <row r="141" spans="1:2" s="10" customFormat="1" ht="15">
      <c r="A141" s="580"/>
      <c r="B141" s="743"/>
    </row>
    <row r="142" spans="1:2" s="10" customFormat="1" ht="15">
      <c r="A142" s="580"/>
      <c r="B142" s="743"/>
    </row>
    <row r="143" spans="1:2" s="10" customFormat="1" ht="15">
      <c r="A143" s="580"/>
      <c r="B143" s="743"/>
    </row>
    <row r="144" spans="1:2" s="10" customFormat="1" ht="15">
      <c r="A144" s="580"/>
      <c r="B144" s="743"/>
    </row>
    <row r="145" spans="1:2" s="10" customFormat="1" ht="15">
      <c r="A145" s="580"/>
      <c r="B145" s="743"/>
    </row>
    <row r="146" spans="1:2" s="10" customFormat="1" ht="15">
      <c r="A146" s="580"/>
      <c r="B146" s="743"/>
    </row>
    <row r="147" spans="1:2" s="10" customFormat="1" ht="15">
      <c r="A147" s="580"/>
      <c r="B147" s="743"/>
    </row>
    <row r="148" spans="1:2" s="10" customFormat="1" ht="15">
      <c r="A148" s="580"/>
      <c r="B148" s="743"/>
    </row>
    <row r="149" spans="1:2" s="10" customFormat="1" ht="15">
      <c r="A149" s="580"/>
      <c r="B149" s="743"/>
    </row>
    <row r="150" spans="1:2" s="10" customFormat="1" ht="15">
      <c r="A150" s="580"/>
      <c r="B150" s="743"/>
    </row>
    <row r="151" spans="1:2" s="10" customFormat="1" ht="15">
      <c r="A151" s="580"/>
      <c r="B151" s="743"/>
    </row>
    <row r="152" spans="1:2" s="10" customFormat="1" ht="15">
      <c r="A152" s="580"/>
      <c r="B152" s="743"/>
    </row>
    <row r="153" spans="1:2" s="10" customFormat="1" ht="15">
      <c r="A153" s="580"/>
      <c r="B153" s="743"/>
    </row>
    <row r="154" spans="1:2" s="10" customFormat="1" ht="15">
      <c r="A154" s="580"/>
      <c r="B154" s="743"/>
    </row>
    <row r="155" spans="1:2" s="10" customFormat="1" ht="15">
      <c r="A155" s="580"/>
      <c r="B155" s="743"/>
    </row>
    <row r="156" spans="1:2" s="10" customFormat="1" ht="15">
      <c r="A156" s="580"/>
      <c r="B156" s="743"/>
    </row>
    <row r="157" spans="1:2" s="10" customFormat="1" ht="15">
      <c r="A157" s="580"/>
      <c r="B157" s="743"/>
    </row>
    <row r="158" spans="1:2" s="10" customFormat="1" ht="15">
      <c r="A158" s="580"/>
      <c r="B158" s="743"/>
    </row>
    <row r="159" spans="1:2" s="10" customFormat="1" ht="15">
      <c r="A159" s="580"/>
      <c r="B159" s="743"/>
    </row>
    <row r="160" spans="1:2" s="10" customFormat="1" ht="15">
      <c r="A160" s="580"/>
      <c r="B160" s="743"/>
    </row>
    <row r="161" spans="1:2" s="10" customFormat="1" ht="15">
      <c r="A161" s="580"/>
      <c r="B161" s="743"/>
    </row>
    <row r="162" spans="1:2" s="10" customFormat="1" ht="15">
      <c r="A162" s="580"/>
      <c r="B162" s="743"/>
    </row>
    <row r="163" spans="1:2" s="10" customFormat="1" ht="15">
      <c r="A163" s="580"/>
      <c r="B163" s="743"/>
    </row>
    <row r="164" spans="1:2" s="10" customFormat="1" ht="15">
      <c r="A164" s="580"/>
      <c r="B164" s="743"/>
    </row>
    <row r="165" spans="1:2" s="10" customFormat="1" ht="15">
      <c r="A165" s="580"/>
      <c r="B165" s="743"/>
    </row>
    <row r="166" spans="1:2" s="10" customFormat="1" ht="15">
      <c r="A166" s="580"/>
      <c r="B166" s="743"/>
    </row>
    <row r="167" spans="1:2" s="10" customFormat="1" ht="15">
      <c r="A167" s="580"/>
      <c r="B167" s="743"/>
    </row>
    <row r="168" spans="1:2" s="10" customFormat="1" ht="15">
      <c r="A168" s="580"/>
      <c r="B168" s="743"/>
    </row>
    <row r="169" spans="1:2" s="10" customFormat="1" ht="15">
      <c r="A169" s="580"/>
      <c r="B169" s="743"/>
    </row>
    <row r="170" spans="1:2" s="10" customFormat="1" ht="15">
      <c r="A170" s="580"/>
      <c r="B170" s="743"/>
    </row>
    <row r="171" spans="1:2" s="10" customFormat="1" ht="15">
      <c r="A171" s="580"/>
      <c r="B171" s="743"/>
    </row>
    <row r="172" spans="1:2" s="10" customFormat="1" ht="15">
      <c r="A172" s="580"/>
      <c r="B172" s="743"/>
    </row>
    <row r="173" spans="1:2" s="10" customFormat="1" ht="15">
      <c r="A173" s="580"/>
      <c r="B173" s="743"/>
    </row>
    <row r="174" spans="1:2" s="10" customFormat="1" ht="15">
      <c r="A174" s="580"/>
      <c r="B174" s="743"/>
    </row>
    <row r="175" spans="1:2" s="10" customFormat="1" ht="15">
      <c r="A175" s="580"/>
      <c r="B175" s="743"/>
    </row>
    <row r="176" spans="1:2" s="10" customFormat="1" ht="15">
      <c r="A176" s="580"/>
      <c r="B176" s="743"/>
    </row>
    <row r="177" spans="1:2" s="10" customFormat="1" ht="15">
      <c r="A177" s="580"/>
      <c r="B177" s="743"/>
    </row>
    <row r="178" spans="1:2" s="10" customFormat="1" ht="15">
      <c r="A178" s="580"/>
      <c r="B178" s="743"/>
    </row>
    <row r="179" spans="1:2" s="10" customFormat="1" ht="15">
      <c r="A179" s="580"/>
      <c r="B179" s="743"/>
    </row>
    <row r="180" spans="1:2" s="10" customFormat="1" ht="15">
      <c r="A180" s="580"/>
      <c r="B180" s="743"/>
    </row>
    <row r="181" spans="1:2" s="10" customFormat="1" ht="15">
      <c r="A181" s="580"/>
      <c r="B181" s="743"/>
    </row>
    <row r="182" spans="1:2" s="10" customFormat="1" ht="15">
      <c r="A182" s="580"/>
      <c r="B182" s="743"/>
    </row>
    <row r="183" spans="1:2" s="10" customFormat="1" ht="15">
      <c r="A183" s="580"/>
      <c r="B183" s="743"/>
    </row>
    <row r="184" spans="1:2" s="10" customFormat="1" ht="15">
      <c r="A184" s="580"/>
      <c r="B184" s="743"/>
    </row>
    <row r="185" spans="1:2" s="10" customFormat="1" ht="15">
      <c r="A185" s="580"/>
      <c r="B185" s="743"/>
    </row>
    <row r="186" spans="1:2" s="10" customFormat="1" ht="15">
      <c r="A186" s="580"/>
      <c r="B186" s="743"/>
    </row>
    <row r="187" spans="1:2" s="10" customFormat="1" ht="15">
      <c r="A187" s="580"/>
      <c r="B187" s="743"/>
    </row>
    <row r="188" spans="1:2" s="10" customFormat="1" ht="15">
      <c r="A188" s="580"/>
      <c r="B188" s="743"/>
    </row>
    <row r="189" spans="1:2" s="10" customFormat="1" ht="15">
      <c r="A189" s="580"/>
      <c r="B189" s="743"/>
    </row>
    <row r="190" spans="1:2" s="10" customFormat="1" ht="15">
      <c r="A190" s="580"/>
      <c r="B190" s="743"/>
    </row>
    <row r="191" spans="1:2" s="10" customFormat="1" ht="15">
      <c r="A191" s="580"/>
      <c r="B191" s="743"/>
    </row>
    <row r="192" spans="1:2" s="10" customFormat="1" ht="15">
      <c r="A192" s="580"/>
      <c r="B192" s="743"/>
    </row>
    <row r="193" spans="1:2" s="10" customFormat="1" ht="15">
      <c r="A193" s="580"/>
      <c r="B193" s="743"/>
    </row>
    <row r="194" spans="1:2" s="10" customFormat="1" ht="15">
      <c r="A194" s="580"/>
      <c r="B194" s="743"/>
    </row>
    <row r="195" spans="1:2" s="10" customFormat="1" ht="15">
      <c r="A195" s="580"/>
      <c r="B195" s="743"/>
    </row>
    <row r="196" spans="1:2" s="10" customFormat="1" ht="15">
      <c r="A196" s="580"/>
      <c r="B196" s="743"/>
    </row>
    <row r="197" spans="1:2" s="10" customFormat="1" ht="15">
      <c r="A197" s="580"/>
      <c r="B197" s="743"/>
    </row>
    <row r="198" spans="1:2" s="10" customFormat="1" ht="15">
      <c r="A198" s="580"/>
      <c r="B198" s="743"/>
    </row>
    <row r="199" spans="1:2" s="10" customFormat="1" ht="15">
      <c r="A199" s="580"/>
      <c r="B199" s="743"/>
    </row>
    <row r="200" spans="1:2" s="10" customFormat="1" ht="15">
      <c r="A200" s="580"/>
      <c r="B200" s="743"/>
    </row>
    <row r="201" spans="1:2" s="10" customFormat="1" ht="15">
      <c r="A201" s="580"/>
      <c r="B201" s="743"/>
    </row>
    <row r="202" spans="1:2" s="10" customFormat="1" ht="15">
      <c r="A202" s="580"/>
      <c r="B202" s="743"/>
    </row>
    <row r="203" spans="1:2" s="10" customFormat="1" ht="15">
      <c r="A203" s="580"/>
      <c r="B203" s="743"/>
    </row>
  </sheetData>
  <sheetProtection/>
  <mergeCells count="1">
    <mergeCell ref="A6:E6"/>
  </mergeCells>
  <printOptions/>
  <pageMargins left="0.7874015748031497" right="0.3937007874015748" top="0.3937007874015748" bottom="0.2755905511811024" header="0.5118110236220472" footer="0.2755905511811024"/>
  <pageSetup fitToHeight="2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showZeros="0" view="pageBreakPreview" zoomScale="60" zoomScaleNormal="75" zoomScalePageLayoutView="0" workbookViewId="0" topLeftCell="A1">
      <selection activeCell="I31" sqref="I31"/>
    </sheetView>
  </sheetViews>
  <sheetFormatPr defaultColWidth="9.00390625" defaultRowHeight="12.75"/>
  <cols>
    <col min="1" max="1" width="28.75390625" style="8" customWidth="1"/>
    <col min="2" max="2" width="10.375" style="9" customWidth="1"/>
    <col min="3" max="3" width="11.875" style="10" customWidth="1"/>
    <col min="4" max="4" width="9.00390625" style="10" customWidth="1"/>
    <col min="5" max="5" width="9.75390625" style="10" customWidth="1"/>
    <col min="6" max="6" width="10.00390625" style="11" customWidth="1"/>
    <col min="7" max="7" width="13.625" style="10" customWidth="1"/>
    <col min="8" max="8" width="8.625" style="10" customWidth="1"/>
    <col min="9" max="9" width="9.00390625" style="10" customWidth="1"/>
    <col min="10" max="10" width="2.625" style="10" hidden="1" customWidth="1"/>
    <col min="11" max="11" width="11.625" style="10" customWidth="1"/>
    <col min="12" max="12" width="9.75390625" style="10" customWidth="1"/>
    <col min="13" max="14" width="10.75390625" style="10" hidden="1" customWidth="1"/>
    <col min="15" max="15" width="7.375" style="10" hidden="1" customWidth="1"/>
    <col min="16" max="16" width="11.00390625" style="10" customWidth="1"/>
    <col min="17" max="17" width="9.375" style="11" customWidth="1"/>
    <col min="18" max="18" width="6.375" style="10" hidden="1" customWidth="1"/>
    <col min="19" max="19" width="7.875" style="10" customWidth="1"/>
    <col min="20" max="20" width="10.00390625" style="10" customWidth="1"/>
    <col min="21" max="22" width="10.00390625" style="10" hidden="1" customWidth="1"/>
    <col min="23" max="23" width="9.75390625" style="11" customWidth="1"/>
    <col min="24" max="24" width="0" style="10" hidden="1" customWidth="1"/>
    <col min="25" max="16384" width="9.125" style="10" customWidth="1"/>
  </cols>
  <sheetData>
    <row r="1" spans="11:24" ht="15.75">
      <c r="K1" s="452"/>
      <c r="L1" s="452"/>
      <c r="M1" s="452"/>
      <c r="N1" s="452"/>
      <c r="O1" s="452"/>
      <c r="P1" s="452"/>
      <c r="Q1" s="127" t="s">
        <v>581</v>
      </c>
      <c r="R1" s="6"/>
      <c r="S1" s="6"/>
      <c r="T1" s="127"/>
      <c r="U1" s="453"/>
      <c r="V1" s="454"/>
      <c r="W1" s="454"/>
      <c r="X1" s="452"/>
    </row>
    <row r="2" spans="11:24" ht="15.75">
      <c r="K2" s="452"/>
      <c r="L2" s="452"/>
      <c r="M2" s="452"/>
      <c r="N2" s="452"/>
      <c r="O2" s="452"/>
      <c r="P2" s="452"/>
      <c r="Q2" s="127" t="s">
        <v>546</v>
      </c>
      <c r="R2" s="4"/>
      <c r="S2" s="4"/>
      <c r="T2" s="127"/>
      <c r="U2" s="453"/>
      <c r="V2" s="454"/>
      <c r="W2" s="454"/>
      <c r="X2" s="452"/>
    </row>
    <row r="3" spans="11:24" ht="15.75">
      <c r="K3" s="452"/>
      <c r="L3" s="452"/>
      <c r="M3" s="452"/>
      <c r="N3" s="452"/>
      <c r="O3" s="452"/>
      <c r="P3" s="452"/>
      <c r="Q3" s="127" t="s">
        <v>1252</v>
      </c>
      <c r="R3" s="4"/>
      <c r="S3" s="4"/>
      <c r="T3" s="127"/>
      <c r="U3" s="453"/>
      <c r="V3" s="454"/>
      <c r="W3" s="454"/>
      <c r="X3" s="452"/>
    </row>
    <row r="4" spans="11:24" ht="15.75">
      <c r="K4" s="452"/>
      <c r="L4" s="452"/>
      <c r="M4" s="452"/>
      <c r="N4" s="452"/>
      <c r="O4" s="452"/>
      <c r="P4" s="452"/>
      <c r="Q4" s="548" t="str">
        <f>доходы!B3</f>
        <v>от 5.03.2012 №5</v>
      </c>
      <c r="R4" s="547"/>
      <c r="S4" s="547"/>
      <c r="T4" s="548"/>
      <c r="U4" s="453"/>
      <c r="V4" s="454"/>
      <c r="W4" s="454"/>
      <c r="X4" s="452"/>
    </row>
    <row r="5" spans="1:24" ht="15">
      <c r="A5" s="1"/>
      <c r="B5" s="1"/>
      <c r="K5" s="452"/>
      <c r="L5" s="452"/>
      <c r="M5" s="452"/>
      <c r="N5" s="452"/>
      <c r="O5" s="452"/>
      <c r="P5" s="452"/>
      <c r="Q5" s="451"/>
      <c r="R5" s="452"/>
      <c r="S5" s="452"/>
      <c r="T5" s="452"/>
      <c r="U5" s="452"/>
      <c r="V5" s="452"/>
      <c r="W5" s="451"/>
      <c r="X5" s="452"/>
    </row>
    <row r="6" spans="1:4" ht="15">
      <c r="A6" s="1"/>
      <c r="B6" s="1"/>
      <c r="C6" s="10" t="s">
        <v>472</v>
      </c>
      <c r="D6" s="10" t="s">
        <v>1253</v>
      </c>
    </row>
    <row r="7" spans="1:21" ht="15">
      <c r="A7" s="137"/>
      <c r="B7" s="11"/>
      <c r="U7" s="10" t="s">
        <v>127</v>
      </c>
    </row>
    <row r="8" spans="1:24" s="26" customFormat="1" ht="15.75">
      <c r="A8" s="138"/>
      <c r="B8" s="139">
        <v>210</v>
      </c>
      <c r="C8" s="140">
        <v>211</v>
      </c>
      <c r="D8" s="140">
        <v>212</v>
      </c>
      <c r="E8" s="140">
        <v>213</v>
      </c>
      <c r="F8" s="139">
        <v>220</v>
      </c>
      <c r="G8" s="140">
        <v>221</v>
      </c>
      <c r="H8" s="140">
        <v>222</v>
      </c>
      <c r="I8" s="140">
        <v>223</v>
      </c>
      <c r="J8" s="141">
        <v>224</v>
      </c>
      <c r="K8" s="140">
        <v>225</v>
      </c>
      <c r="L8" s="140">
        <v>226</v>
      </c>
      <c r="M8" s="139">
        <v>230</v>
      </c>
      <c r="N8" s="139">
        <v>260</v>
      </c>
      <c r="O8" s="139">
        <v>231</v>
      </c>
      <c r="P8" s="139">
        <v>290</v>
      </c>
      <c r="Q8" s="139">
        <v>251</v>
      </c>
      <c r="R8" s="139">
        <v>300</v>
      </c>
      <c r="S8" s="139">
        <v>310</v>
      </c>
      <c r="T8" s="140">
        <v>340</v>
      </c>
      <c r="U8" s="140">
        <v>340</v>
      </c>
      <c r="V8" s="139">
        <v>540</v>
      </c>
      <c r="W8" s="139"/>
      <c r="X8" s="142"/>
    </row>
    <row r="9" spans="1:24" s="28" customFormat="1" ht="76.5" customHeight="1">
      <c r="A9" s="143"/>
      <c r="B9" s="237" t="s">
        <v>128</v>
      </c>
      <c r="C9" s="238" t="s">
        <v>727</v>
      </c>
      <c r="D9" s="238" t="s">
        <v>130</v>
      </c>
      <c r="E9" s="238" t="s">
        <v>728</v>
      </c>
      <c r="F9" s="237" t="s">
        <v>734</v>
      </c>
      <c r="G9" s="238" t="s">
        <v>132</v>
      </c>
      <c r="H9" s="238" t="s">
        <v>133</v>
      </c>
      <c r="I9" s="238" t="s">
        <v>134</v>
      </c>
      <c r="J9" s="238" t="s">
        <v>135</v>
      </c>
      <c r="K9" s="238" t="s">
        <v>735</v>
      </c>
      <c r="L9" s="238" t="s">
        <v>736</v>
      </c>
      <c r="M9" s="146" t="s">
        <v>138</v>
      </c>
      <c r="N9" s="146" t="s">
        <v>139</v>
      </c>
      <c r="O9" s="146" t="s">
        <v>944</v>
      </c>
      <c r="P9" s="146" t="s">
        <v>140</v>
      </c>
      <c r="Q9" s="146"/>
      <c r="R9" s="146" t="s">
        <v>141</v>
      </c>
      <c r="S9" s="146" t="s">
        <v>142</v>
      </c>
      <c r="T9" s="145" t="s">
        <v>1264</v>
      </c>
      <c r="U9" s="145" t="s">
        <v>143</v>
      </c>
      <c r="V9" s="146" t="s">
        <v>144</v>
      </c>
      <c r="W9" s="146"/>
      <c r="X9" s="146" t="s">
        <v>634</v>
      </c>
    </row>
    <row r="10" spans="1:24" s="29" customFormat="1" ht="15.75">
      <c r="A10" s="147" t="s">
        <v>467</v>
      </c>
      <c r="B10" s="148"/>
      <c r="C10" s="149"/>
      <c r="D10" s="150"/>
      <c r="E10" s="150"/>
      <c r="F10" s="150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</row>
    <row r="11" spans="1:24" s="30" customFormat="1" ht="30.75">
      <c r="A11" s="138" t="s">
        <v>184</v>
      </c>
      <c r="B11" s="151">
        <f>SUM(C11:E11)</f>
        <v>428</v>
      </c>
      <c r="C11" s="152">
        <v>319</v>
      </c>
      <c r="D11" s="152"/>
      <c r="E11" s="152">
        <v>109</v>
      </c>
      <c r="F11" s="152">
        <f>'свод бюджет'!F13</f>
        <v>0</v>
      </c>
      <c r="G11" s="152">
        <f>'свод бюджет'!G13</f>
        <v>0</v>
      </c>
      <c r="H11" s="152">
        <f>'свод бюджет'!H13</f>
        <v>0</v>
      </c>
      <c r="I11" s="152">
        <f>'свод бюджет'!I13</f>
        <v>0</v>
      </c>
      <c r="J11" s="152">
        <f>'свод бюджет'!J13</f>
        <v>0</v>
      </c>
      <c r="K11" s="152">
        <f>'свод бюджет'!K13</f>
        <v>0</v>
      </c>
      <c r="L11" s="152">
        <f>'свод бюджет'!L13</f>
        <v>0</v>
      </c>
      <c r="M11" s="152">
        <f>'свод бюджет'!N13</f>
        <v>0</v>
      </c>
      <c r="N11" s="152">
        <f>'свод бюджет'!O13</f>
        <v>0</v>
      </c>
      <c r="O11" s="152"/>
      <c r="P11" s="152">
        <f>'свод бюджет'!P13</f>
        <v>0</v>
      </c>
      <c r="Q11" s="152"/>
      <c r="R11" s="152">
        <f>'свод бюджет'!Q13</f>
        <v>0</v>
      </c>
      <c r="S11" s="152"/>
      <c r="T11" s="152">
        <f>'свод бюджет'!R13</f>
        <v>0</v>
      </c>
      <c r="U11" s="152">
        <f>'свод бюджет'!U13</f>
        <v>0</v>
      </c>
      <c r="V11" s="152">
        <f>'свод бюджет'!V13</f>
        <v>0</v>
      </c>
      <c r="W11" s="152">
        <f>'свод бюджет'!W13</f>
        <v>0</v>
      </c>
      <c r="X11" s="151">
        <f>B11+F11+M11+P11+R11</f>
        <v>428</v>
      </c>
    </row>
    <row r="12" spans="1:25" s="32" customFormat="1" ht="16.5" customHeight="1">
      <c r="A12" s="575" t="s">
        <v>145</v>
      </c>
      <c r="B12" s="577">
        <f aca="true" t="shared" si="0" ref="B12:V12">SUM(B11:B11)</f>
        <v>428</v>
      </c>
      <c r="C12" s="577">
        <f t="shared" si="0"/>
        <v>319</v>
      </c>
      <c r="D12" s="577">
        <f t="shared" si="0"/>
        <v>0</v>
      </c>
      <c r="E12" s="577">
        <f t="shared" si="0"/>
        <v>109</v>
      </c>
      <c r="F12" s="577">
        <f t="shared" si="0"/>
        <v>0</v>
      </c>
      <c r="G12" s="577">
        <f t="shared" si="0"/>
        <v>0</v>
      </c>
      <c r="H12" s="577">
        <f t="shared" si="0"/>
        <v>0</v>
      </c>
      <c r="I12" s="577">
        <f t="shared" si="0"/>
        <v>0</v>
      </c>
      <c r="J12" s="577">
        <f t="shared" si="0"/>
        <v>0</v>
      </c>
      <c r="K12" s="577">
        <f t="shared" si="0"/>
        <v>0</v>
      </c>
      <c r="L12" s="577">
        <f t="shared" si="0"/>
        <v>0</v>
      </c>
      <c r="M12" s="577">
        <f t="shared" si="0"/>
        <v>0</v>
      </c>
      <c r="N12" s="577"/>
      <c r="O12" s="577"/>
      <c r="P12" s="577">
        <f t="shared" si="0"/>
        <v>0</v>
      </c>
      <c r="Q12" s="577"/>
      <c r="R12" s="577">
        <f t="shared" si="0"/>
        <v>0</v>
      </c>
      <c r="S12" s="577"/>
      <c r="T12" s="577">
        <f t="shared" si="0"/>
        <v>0</v>
      </c>
      <c r="U12" s="577">
        <f t="shared" si="0"/>
        <v>0</v>
      </c>
      <c r="V12" s="577">
        <f t="shared" si="0"/>
        <v>0</v>
      </c>
      <c r="W12" s="577">
        <v>428</v>
      </c>
      <c r="X12" s="577">
        <f>SUM(X11:X11)</f>
        <v>428</v>
      </c>
      <c r="Y12" s="154"/>
    </row>
    <row r="13" spans="1:25" s="32" customFormat="1" ht="17.25" customHeight="1" hidden="1">
      <c r="A13" s="576" t="s">
        <v>937</v>
      </c>
      <c r="B13" s="578"/>
      <c r="C13" s="578"/>
      <c r="D13" s="578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8"/>
      <c r="S13" s="578"/>
      <c r="T13" s="578"/>
      <c r="U13" s="578"/>
      <c r="V13" s="578"/>
      <c r="W13" s="578"/>
      <c r="X13" s="578"/>
      <c r="Y13" s="154"/>
    </row>
    <row r="14" spans="1:25" s="32" customFormat="1" ht="45" customHeight="1" hidden="1">
      <c r="A14" s="579"/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>
        <f>'свод бюджет'!U16</f>
        <v>0</v>
      </c>
      <c r="Q14" s="578"/>
      <c r="R14" s="578"/>
      <c r="S14" s="578"/>
      <c r="T14" s="578"/>
      <c r="U14" s="578"/>
      <c r="V14" s="578"/>
      <c r="W14" s="578"/>
      <c r="X14" s="578">
        <f>O14</f>
        <v>0</v>
      </c>
      <c r="Y14" s="154"/>
    </row>
    <row r="15" spans="1:25" s="32" customFormat="1" ht="17.25" customHeight="1" hidden="1">
      <c r="A15" s="576"/>
      <c r="B15" s="578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154"/>
    </row>
    <row r="16" spans="1:25" s="32" customFormat="1" ht="17.25" customHeight="1" hidden="1">
      <c r="A16" s="579"/>
      <c r="B16" s="578"/>
      <c r="C16" s="578"/>
      <c r="D16" s="578"/>
      <c r="E16" s="578"/>
      <c r="F16" s="578"/>
      <c r="G16" s="578"/>
      <c r="H16" s="578"/>
      <c r="I16" s="578"/>
      <c r="J16" s="578"/>
      <c r="K16" s="578"/>
      <c r="L16" s="578"/>
      <c r="M16" s="578"/>
      <c r="N16" s="578"/>
      <c r="O16" s="578"/>
      <c r="P16" s="578">
        <f>'свод бюджет'!U18</f>
        <v>0</v>
      </c>
      <c r="Q16" s="578"/>
      <c r="R16" s="578"/>
      <c r="S16" s="578"/>
      <c r="T16" s="578"/>
      <c r="U16" s="578"/>
      <c r="V16" s="578"/>
      <c r="W16" s="578"/>
      <c r="X16" s="578">
        <f>P16</f>
        <v>0</v>
      </c>
      <c r="Y16" s="154"/>
    </row>
    <row r="17" spans="1:25" s="731" customFormat="1" ht="15.75" customHeight="1" hidden="1">
      <c r="A17" s="575" t="s">
        <v>940</v>
      </c>
      <c r="B17" s="577"/>
      <c r="C17" s="577"/>
      <c r="D17" s="577"/>
      <c r="E17" s="577"/>
      <c r="F17" s="577"/>
      <c r="G17" s="577"/>
      <c r="H17" s="577"/>
      <c r="I17" s="577"/>
      <c r="J17" s="577"/>
      <c r="K17" s="577"/>
      <c r="L17" s="577"/>
      <c r="M17" s="577"/>
      <c r="N17" s="577"/>
      <c r="O17" s="577">
        <f>O14</f>
        <v>0</v>
      </c>
      <c r="P17" s="577">
        <f>P14+P16</f>
        <v>0</v>
      </c>
      <c r="Q17" s="577"/>
      <c r="R17" s="577"/>
      <c r="S17" s="577"/>
      <c r="T17" s="577"/>
      <c r="U17" s="577"/>
      <c r="V17" s="577"/>
      <c r="W17" s="577"/>
      <c r="X17" s="577">
        <f>X14+X16</f>
        <v>0</v>
      </c>
      <c r="Y17" s="730"/>
    </row>
    <row r="18" spans="1:25" s="731" customFormat="1" ht="2.25" customHeight="1" hidden="1">
      <c r="A18" s="575"/>
      <c r="B18" s="577"/>
      <c r="C18" s="577"/>
      <c r="D18" s="577"/>
      <c r="E18" s="577"/>
      <c r="F18" s="577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730"/>
    </row>
    <row r="19" spans="1:24" s="32" customFormat="1" ht="15.75" hidden="1">
      <c r="A19" s="575"/>
      <c r="B19" s="577"/>
      <c r="C19" s="577"/>
      <c r="D19" s="577"/>
      <c r="E19" s="577"/>
      <c r="F19" s="577"/>
      <c r="G19" s="577"/>
      <c r="H19" s="577"/>
      <c r="I19" s="57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577"/>
      <c r="U19" s="577"/>
      <c r="V19" s="577"/>
      <c r="W19" s="577"/>
      <c r="X19" s="577"/>
    </row>
    <row r="20" spans="1:25" s="32" customFormat="1" ht="15.75" hidden="1">
      <c r="A20" s="575"/>
      <c r="B20" s="577"/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7"/>
      <c r="U20" s="577"/>
      <c r="V20" s="577"/>
      <c r="W20" s="577"/>
      <c r="X20" s="577"/>
      <c r="Y20" s="154"/>
    </row>
    <row r="21" spans="1:25" s="39" customFormat="1" ht="15.75" hidden="1">
      <c r="A21" s="575"/>
      <c r="B21" s="577"/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  <c r="S21" s="577"/>
      <c r="T21" s="577"/>
      <c r="U21" s="577"/>
      <c r="V21" s="577"/>
      <c r="W21" s="577"/>
      <c r="X21" s="577"/>
      <c r="Y21" s="154"/>
    </row>
    <row r="22" spans="1:24" s="32" customFormat="1" ht="15.75">
      <c r="A22" s="576" t="s">
        <v>1260</v>
      </c>
      <c r="B22" s="578"/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1091"/>
      <c r="Q22" s="1091"/>
      <c r="R22" s="578"/>
      <c r="S22" s="578"/>
      <c r="T22" s="578"/>
      <c r="U22" s="578"/>
      <c r="V22" s="578"/>
      <c r="W22" s="578"/>
      <c r="X22" s="578"/>
    </row>
    <row r="23" spans="1:25" s="32" customFormat="1" ht="15.75">
      <c r="A23" s="138" t="s">
        <v>726</v>
      </c>
      <c r="B23" s="151">
        <f>SUM(C23:E23)</f>
        <v>0</v>
      </c>
      <c r="C23" s="158"/>
      <c r="D23" s="158"/>
      <c r="E23" s="158"/>
      <c r="F23" s="153">
        <f>SUM(G23:L23)</f>
        <v>0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092"/>
      <c r="Q23" s="1126"/>
      <c r="R23" s="151">
        <f>SUM(T23:U23)</f>
        <v>50</v>
      </c>
      <c r="S23" s="151"/>
      <c r="T23" s="158">
        <v>25</v>
      </c>
      <c r="U23" s="158">
        <v>25</v>
      </c>
      <c r="V23" s="158"/>
      <c r="W23" s="159"/>
      <c r="X23" s="1088">
        <f>B23+F23+M23+P23+R23</f>
        <v>50</v>
      </c>
      <c r="Y23" s="154"/>
    </row>
    <row r="24" spans="1:25" s="39" customFormat="1" ht="15.75">
      <c r="A24" s="160" t="s">
        <v>1261</v>
      </c>
      <c r="B24" s="161">
        <f aca="true" t="shared" si="1" ref="B24:M24">SUM(B23:B23)</f>
        <v>0</v>
      </c>
      <c r="C24" s="161">
        <f t="shared" si="1"/>
        <v>0</v>
      </c>
      <c r="D24" s="161">
        <f t="shared" si="1"/>
        <v>0</v>
      </c>
      <c r="E24" s="161">
        <f t="shared" si="1"/>
        <v>0</v>
      </c>
      <c r="F24" s="161">
        <f t="shared" si="1"/>
        <v>0</v>
      </c>
      <c r="G24" s="161">
        <f t="shared" si="1"/>
        <v>0</v>
      </c>
      <c r="H24" s="161">
        <f t="shared" si="1"/>
        <v>0</v>
      </c>
      <c r="I24" s="161">
        <f t="shared" si="1"/>
        <v>0</v>
      </c>
      <c r="J24" s="161">
        <f t="shared" si="1"/>
        <v>0</v>
      </c>
      <c r="K24" s="161">
        <f t="shared" si="1"/>
        <v>0</v>
      </c>
      <c r="L24" s="161">
        <f t="shared" si="1"/>
        <v>0</v>
      </c>
      <c r="M24" s="161">
        <f t="shared" si="1"/>
        <v>0</v>
      </c>
      <c r="N24" s="161"/>
      <c r="O24" s="161"/>
      <c r="P24" s="1084">
        <f aca="true" t="shared" si="2" ref="P24:X24">SUM(P23:P23)</f>
        <v>0</v>
      </c>
      <c r="Q24" s="1084"/>
      <c r="R24" s="161">
        <f t="shared" si="2"/>
        <v>50</v>
      </c>
      <c r="S24" s="161"/>
      <c r="T24" s="161">
        <f t="shared" si="2"/>
        <v>25</v>
      </c>
      <c r="U24" s="161">
        <f t="shared" si="2"/>
        <v>25</v>
      </c>
      <c r="V24" s="161">
        <f t="shared" si="2"/>
        <v>0</v>
      </c>
      <c r="W24" s="161">
        <v>25</v>
      </c>
      <c r="X24" s="1084">
        <f t="shared" si="2"/>
        <v>50</v>
      </c>
      <c r="Y24" s="154"/>
    </row>
    <row r="25" spans="1:25" s="29" customFormat="1" ht="45.75" customHeight="1">
      <c r="A25" s="1122" t="s">
        <v>1262</v>
      </c>
      <c r="B25" s="1123"/>
      <c r="C25" s="1124"/>
      <c r="D25" s="1124"/>
      <c r="E25" s="1124"/>
      <c r="F25" s="1124"/>
      <c r="G25" s="1124"/>
      <c r="H25" s="1124"/>
      <c r="I25" s="1124"/>
      <c r="J25" s="1123"/>
      <c r="K25" s="1123"/>
      <c r="L25" s="1123"/>
      <c r="M25" s="1123"/>
      <c r="N25" s="1123"/>
      <c r="O25" s="1123"/>
      <c r="P25" s="1125"/>
      <c r="Q25" s="1127">
        <v>23.8</v>
      </c>
      <c r="R25" s="1123"/>
      <c r="S25" s="1123"/>
      <c r="T25" s="1123"/>
      <c r="U25" s="1123"/>
      <c r="V25" s="1123"/>
      <c r="W25" s="1123">
        <v>23.8</v>
      </c>
      <c r="X25" s="1125"/>
      <c r="Y25" s="154"/>
    </row>
    <row r="26" spans="1:24" ht="15.75">
      <c r="A26" s="1122"/>
      <c r="B26" s="1123"/>
      <c r="C26" s="1124"/>
      <c r="D26" s="1124"/>
      <c r="E26" s="1124"/>
      <c r="F26" s="1124"/>
      <c r="G26" s="1124"/>
      <c r="H26" s="1124"/>
      <c r="I26" s="1124"/>
      <c r="J26" s="1123"/>
      <c r="K26" s="1123"/>
      <c r="L26" s="1123"/>
      <c r="M26" s="1123"/>
      <c r="N26" s="1123"/>
      <c r="O26" s="1123"/>
      <c r="P26" s="1125"/>
      <c r="Q26" s="1125"/>
      <c r="R26" s="1123"/>
      <c r="S26" s="1123"/>
      <c r="T26" s="1123"/>
      <c r="U26" s="1123"/>
      <c r="V26" s="1123"/>
      <c r="W26" s="1123"/>
      <c r="X26" s="1125"/>
    </row>
    <row r="27" spans="1:24" ht="15.75">
      <c r="A27" s="1122" t="s">
        <v>1263</v>
      </c>
      <c r="B27" s="1123"/>
      <c r="C27" s="1124"/>
      <c r="D27" s="1124"/>
      <c r="E27" s="1124"/>
      <c r="F27" s="1124"/>
      <c r="G27" s="1124"/>
      <c r="H27" s="1124"/>
      <c r="I27" s="1124"/>
      <c r="J27" s="1123"/>
      <c r="K27" s="1123"/>
      <c r="L27" s="1123"/>
      <c r="M27" s="1123"/>
      <c r="N27" s="1123"/>
      <c r="O27" s="1123"/>
      <c r="P27" s="1125"/>
      <c r="Q27" s="1125"/>
      <c r="R27" s="1123"/>
      <c r="S27" s="1123"/>
      <c r="T27" s="1123"/>
      <c r="U27" s="1123"/>
      <c r="V27" s="1123"/>
      <c r="W27" s="1123"/>
      <c r="X27" s="156"/>
    </row>
    <row r="28" spans="1:24" ht="47.25">
      <c r="A28" s="1122" t="s">
        <v>1262</v>
      </c>
      <c r="B28" s="1123"/>
      <c r="C28" s="1124"/>
      <c r="D28" s="1124"/>
      <c r="E28" s="1124"/>
      <c r="F28" s="1124"/>
      <c r="G28" s="1124"/>
      <c r="H28" s="1124"/>
      <c r="I28" s="1124"/>
      <c r="J28" s="1123"/>
      <c r="K28" s="1123"/>
      <c r="L28" s="1123"/>
      <c r="M28" s="1123"/>
      <c r="N28" s="1123"/>
      <c r="O28" s="1123"/>
      <c r="P28" s="1125"/>
      <c r="Q28" s="1085">
        <v>7.5</v>
      </c>
      <c r="R28" s="1123"/>
      <c r="S28" s="1123"/>
      <c r="T28" s="1123"/>
      <c r="U28" s="1123"/>
      <c r="V28" s="1123"/>
      <c r="W28" s="1123">
        <v>7.5</v>
      </c>
      <c r="X28" s="1088">
        <f>B30+F30+P30+R30</f>
        <v>1342.9</v>
      </c>
    </row>
    <row r="29" spans="1:24" ht="15.75">
      <c r="A29" s="155" t="s">
        <v>1167</v>
      </c>
      <c r="B29" s="156"/>
      <c r="C29" s="157"/>
      <c r="D29" s="157"/>
      <c r="E29" s="157"/>
      <c r="F29" s="157"/>
      <c r="G29" s="157"/>
      <c r="H29" s="157"/>
      <c r="I29" s="157"/>
      <c r="J29" s="156"/>
      <c r="K29" s="156"/>
      <c r="L29" s="156"/>
      <c r="M29" s="156"/>
      <c r="N29" s="156"/>
      <c r="O29" s="156"/>
      <c r="P29" s="1093"/>
      <c r="Q29" s="1093"/>
      <c r="R29" s="156"/>
      <c r="S29" s="156"/>
      <c r="T29" s="156"/>
      <c r="U29" s="156"/>
      <c r="V29" s="156"/>
      <c r="W29" s="156"/>
      <c r="X29" s="1084">
        <f>SUM(X28:X28)</f>
        <v>1342.9</v>
      </c>
    </row>
    <row r="30" spans="1:24" ht="15.75">
      <c r="A30" s="138" t="s">
        <v>185</v>
      </c>
      <c r="B30" s="151">
        <v>860.3</v>
      </c>
      <c r="C30" s="151">
        <v>638.8</v>
      </c>
      <c r="D30" s="151">
        <v>3</v>
      </c>
      <c r="E30" s="151">
        <v>218</v>
      </c>
      <c r="F30" s="1085">
        <v>341.6</v>
      </c>
      <c r="G30" s="1085">
        <v>70</v>
      </c>
      <c r="H30" s="1089">
        <v>13</v>
      </c>
      <c r="I30" s="1085">
        <v>149</v>
      </c>
      <c r="J30" s="1087">
        <f>'свод бюджет'!J27</f>
        <v>0</v>
      </c>
      <c r="K30" s="1085">
        <v>38.4</v>
      </c>
      <c r="L30" s="1085">
        <v>70.2</v>
      </c>
      <c r="M30" s="1086">
        <f>'свод бюджет'!N27</f>
        <v>0</v>
      </c>
      <c r="N30" s="1086">
        <f>'свод бюджет'!O27</f>
        <v>0</v>
      </c>
      <c r="O30" s="1086"/>
      <c r="P30" s="1085">
        <v>87</v>
      </c>
      <c r="Q30" s="1085">
        <v>31.3</v>
      </c>
      <c r="R30" s="151">
        <v>54</v>
      </c>
      <c r="S30" s="151">
        <v>1</v>
      </c>
      <c r="T30" s="151">
        <v>54</v>
      </c>
      <c r="U30" s="151">
        <v>54</v>
      </c>
      <c r="V30" s="151">
        <f>'свод бюджет'!Z27</f>
        <v>4807.95832</v>
      </c>
      <c r="W30" s="151"/>
      <c r="X30" s="1084">
        <f>X12+X29+X24+X17</f>
        <v>1820.9</v>
      </c>
    </row>
    <row r="31" spans="1:23" ht="15.75">
      <c r="A31" s="160" t="s">
        <v>1168</v>
      </c>
      <c r="B31" s="161">
        <f aca="true" t="shared" si="3" ref="B31:M31">SUM(B30:B30)</f>
        <v>860.3</v>
      </c>
      <c r="C31" s="161">
        <f t="shared" si="3"/>
        <v>638.8</v>
      </c>
      <c r="D31" s="161">
        <f t="shared" si="3"/>
        <v>3</v>
      </c>
      <c r="E31" s="161">
        <f t="shared" si="3"/>
        <v>218</v>
      </c>
      <c r="F31" s="1081">
        <f t="shared" si="3"/>
        <v>341.6</v>
      </c>
      <c r="G31" s="1081">
        <f t="shared" si="3"/>
        <v>70</v>
      </c>
      <c r="H31" s="1090">
        <f t="shared" si="3"/>
        <v>13</v>
      </c>
      <c r="I31" s="1081">
        <f t="shared" si="3"/>
        <v>149</v>
      </c>
      <c r="J31" s="1083">
        <f t="shared" si="3"/>
        <v>0</v>
      </c>
      <c r="K31" s="1081">
        <f t="shared" si="3"/>
        <v>38.4</v>
      </c>
      <c r="L31" s="1081">
        <f t="shared" si="3"/>
        <v>70.2</v>
      </c>
      <c r="M31" s="1082">
        <f t="shared" si="3"/>
        <v>0</v>
      </c>
      <c r="N31" s="1082"/>
      <c r="O31" s="1082"/>
      <c r="P31" s="1081">
        <f aca="true" t="shared" si="4" ref="P31:V31">SUM(P30:P30)</f>
        <v>87</v>
      </c>
      <c r="Q31" s="1081">
        <f t="shared" si="4"/>
        <v>31.3</v>
      </c>
      <c r="R31" s="161">
        <f t="shared" si="4"/>
        <v>54</v>
      </c>
      <c r="S31" s="161">
        <v>1</v>
      </c>
      <c r="T31" s="161">
        <f t="shared" si="4"/>
        <v>54</v>
      </c>
      <c r="U31" s="161">
        <f t="shared" si="4"/>
        <v>54</v>
      </c>
      <c r="V31" s="161">
        <f t="shared" si="4"/>
        <v>4807.95832</v>
      </c>
      <c r="W31" s="161">
        <v>1399.2</v>
      </c>
    </row>
    <row r="32" spans="1:23" ht="15.75">
      <c r="A32" s="160" t="s">
        <v>146</v>
      </c>
      <c r="B32" s="161">
        <f aca="true" t="shared" si="5" ref="B32:N32">B12+B31</f>
        <v>1288.3</v>
      </c>
      <c r="C32" s="161">
        <f t="shared" si="5"/>
        <v>957.8</v>
      </c>
      <c r="D32" s="161">
        <f t="shared" si="5"/>
        <v>3</v>
      </c>
      <c r="E32" s="161">
        <f t="shared" si="5"/>
        <v>327</v>
      </c>
      <c r="F32" s="1081">
        <f t="shared" si="5"/>
        <v>341.6</v>
      </c>
      <c r="G32" s="1081">
        <f t="shared" si="5"/>
        <v>70</v>
      </c>
      <c r="H32" s="1090">
        <f t="shared" si="5"/>
        <v>13</v>
      </c>
      <c r="I32" s="1081">
        <f t="shared" si="5"/>
        <v>149</v>
      </c>
      <c r="J32" s="1083">
        <f t="shared" si="5"/>
        <v>0</v>
      </c>
      <c r="K32" s="1081">
        <f t="shared" si="5"/>
        <v>38.4</v>
      </c>
      <c r="L32" s="1081">
        <f t="shared" si="5"/>
        <v>70.2</v>
      </c>
      <c r="M32" s="1082">
        <f t="shared" si="5"/>
        <v>0</v>
      </c>
      <c r="N32" s="1082">
        <f t="shared" si="5"/>
        <v>0</v>
      </c>
      <c r="O32" s="1082">
        <f>O17</f>
        <v>0</v>
      </c>
      <c r="P32" s="1081">
        <f>P12+P31+P24+P17</f>
        <v>87</v>
      </c>
      <c r="Q32" s="1081">
        <f>Q12+Q31+Q24+Q17</f>
        <v>31.3</v>
      </c>
      <c r="R32" s="161">
        <f>R12+R31+R24</f>
        <v>104</v>
      </c>
      <c r="S32" s="161">
        <v>1</v>
      </c>
      <c r="T32" s="161">
        <f>T12+T31+T24</f>
        <v>79</v>
      </c>
      <c r="U32" s="161">
        <f>U12+U31+U24</f>
        <v>79</v>
      </c>
      <c r="V32" s="161">
        <f>V12+V31+V24</f>
        <v>4807.95832</v>
      </c>
      <c r="W32" s="894">
        <f>W31+W21+W23+W12</f>
        <v>1827.2</v>
      </c>
    </row>
    <row r="34" ht="15">
      <c r="C34" s="10" t="s">
        <v>687</v>
      </c>
    </row>
  </sheetData>
  <sheetProtection/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W30"/>
  <sheetViews>
    <sheetView showZeros="0" view="pageBreakPreview" zoomScale="75" zoomScaleSheetLayoutView="75" zoomScalePageLayoutView="0" workbookViewId="0" topLeftCell="A1">
      <selection activeCell="W18" sqref="W18"/>
    </sheetView>
  </sheetViews>
  <sheetFormatPr defaultColWidth="9.00390625" defaultRowHeight="12.75"/>
  <cols>
    <col min="1" max="1" width="31.875" style="0" customWidth="1"/>
    <col min="2" max="2" width="9.375" style="0" customWidth="1"/>
    <col min="3" max="4" width="9.25390625" style="0" customWidth="1"/>
    <col min="5" max="5" width="8.75390625" style="0" customWidth="1"/>
    <col min="6" max="6" width="8.25390625" style="0" customWidth="1"/>
    <col min="7" max="7" width="9.75390625" style="0" customWidth="1"/>
    <col min="8" max="10" width="8.25390625" style="0" customWidth="1"/>
    <col min="11" max="11" width="8.375" style="0" customWidth="1"/>
    <col min="12" max="12" width="7.75390625" style="0" customWidth="1"/>
    <col min="13" max="13" width="9.25390625" style="0" hidden="1" customWidth="1"/>
    <col min="14" max="14" width="10.00390625" style="0" hidden="1" customWidth="1"/>
    <col min="15" max="15" width="8.875" style="0" hidden="1" customWidth="1"/>
    <col min="16" max="17" width="9.25390625" style="0" hidden="1" customWidth="1"/>
    <col min="18" max="18" width="8.125" style="0" customWidth="1"/>
    <col min="19" max="19" width="7.75390625" style="0" customWidth="1"/>
    <col min="20" max="20" width="10.125" style="0" customWidth="1"/>
    <col min="21" max="21" width="9.875" style="0" bestFit="1" customWidth="1"/>
    <col min="22" max="22" width="0" style="0" hidden="1" customWidth="1"/>
    <col min="23" max="23" width="11.375" style="0" customWidth="1"/>
  </cols>
  <sheetData>
    <row r="1" s="162" customFormat="1" ht="15"/>
    <row r="2" spans="19:21" s="162" customFormat="1" ht="15">
      <c r="S2" s="127" t="s">
        <v>582</v>
      </c>
      <c r="T2" s="6"/>
      <c r="U2" s="127"/>
    </row>
    <row r="3" spans="19:21" s="162" customFormat="1" ht="15">
      <c r="S3" s="127" t="s">
        <v>546</v>
      </c>
      <c r="T3" s="4"/>
      <c r="U3" s="127"/>
    </row>
    <row r="4" spans="19:21" s="162" customFormat="1" ht="15">
      <c r="S4" s="127" t="s">
        <v>1225</v>
      </c>
      <c r="T4" s="4"/>
      <c r="U4" s="127"/>
    </row>
    <row r="5" spans="19:21" s="162" customFormat="1" ht="15">
      <c r="S5" s="548" t="str">
        <f>'0100'!Q4</f>
        <v>от 5.03.2012 №5</v>
      </c>
      <c r="T5" s="547"/>
      <c r="U5" s="548"/>
    </row>
    <row r="6" s="162" customFormat="1" ht="15"/>
    <row r="7" s="162" customFormat="1" ht="15"/>
    <row r="8" spans="1:23" s="162" customFormat="1" ht="15">
      <c r="A8" s="1143" t="s">
        <v>1254</v>
      </c>
      <c r="B8" s="1143"/>
      <c r="C8" s="1143"/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</row>
    <row r="9" spans="1:23" s="162" customFormat="1" ht="20.25">
      <c r="A9" s="164"/>
      <c r="B9" s="164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</row>
    <row r="10" spans="1:23" s="162" customFormat="1" ht="20.25">
      <c r="A10" s="164"/>
      <c r="B10" s="164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</row>
    <row r="11" s="162" customFormat="1" ht="15" customHeight="1">
      <c r="U11" s="162" t="s">
        <v>147</v>
      </c>
    </row>
    <row r="12" spans="1:23" s="162" customFormat="1" ht="15.75">
      <c r="A12" s="165"/>
      <c r="B12" s="165">
        <v>210</v>
      </c>
      <c r="C12" s="166">
        <v>211</v>
      </c>
      <c r="D12" s="166">
        <v>212</v>
      </c>
      <c r="E12" s="166">
        <v>213</v>
      </c>
      <c r="F12" s="167">
        <v>220</v>
      </c>
      <c r="G12" s="166">
        <v>221</v>
      </c>
      <c r="H12" s="166">
        <v>222</v>
      </c>
      <c r="I12" s="166">
        <v>223</v>
      </c>
      <c r="J12" s="166">
        <v>224</v>
      </c>
      <c r="K12" s="166">
        <v>225</v>
      </c>
      <c r="L12" s="166">
        <v>226</v>
      </c>
      <c r="M12" s="167">
        <v>240</v>
      </c>
      <c r="N12" s="166">
        <v>241</v>
      </c>
      <c r="O12" s="166">
        <v>242</v>
      </c>
      <c r="P12" s="167">
        <v>260</v>
      </c>
      <c r="Q12" s="166">
        <v>262</v>
      </c>
      <c r="R12" s="167">
        <v>290</v>
      </c>
      <c r="S12" s="167">
        <v>300</v>
      </c>
      <c r="T12" s="166">
        <v>310</v>
      </c>
      <c r="U12" s="166">
        <v>340</v>
      </c>
      <c r="V12" s="167"/>
      <c r="W12" s="167"/>
    </row>
    <row r="13" spans="1:23" s="173" customFormat="1" ht="87.75" customHeight="1">
      <c r="A13" s="168"/>
      <c r="B13" s="145" t="s">
        <v>148</v>
      </c>
      <c r="C13" s="169" t="s">
        <v>727</v>
      </c>
      <c r="D13" s="169" t="s">
        <v>75</v>
      </c>
      <c r="E13" s="169" t="s">
        <v>728</v>
      </c>
      <c r="F13" s="170" t="s">
        <v>131</v>
      </c>
      <c r="G13" s="169" t="s">
        <v>132</v>
      </c>
      <c r="H13" s="169" t="s">
        <v>149</v>
      </c>
      <c r="I13" s="169" t="s">
        <v>150</v>
      </c>
      <c r="J13" s="169" t="s">
        <v>135</v>
      </c>
      <c r="K13" s="169" t="s">
        <v>731</v>
      </c>
      <c r="L13" s="169" t="s">
        <v>732</v>
      </c>
      <c r="M13" s="170" t="s">
        <v>152</v>
      </c>
      <c r="N13" s="169" t="s">
        <v>153</v>
      </c>
      <c r="O13" s="169" t="s">
        <v>154</v>
      </c>
      <c r="P13" s="170" t="s">
        <v>155</v>
      </c>
      <c r="Q13" s="169" t="s">
        <v>156</v>
      </c>
      <c r="R13" s="170" t="s">
        <v>157</v>
      </c>
      <c r="S13" s="170" t="s">
        <v>141</v>
      </c>
      <c r="T13" s="169" t="s">
        <v>158</v>
      </c>
      <c r="U13" s="169" t="s">
        <v>159</v>
      </c>
      <c r="V13" s="171"/>
      <c r="W13" s="172" t="s">
        <v>634</v>
      </c>
    </row>
    <row r="14" spans="1:23" s="176" customFormat="1" ht="33.75" customHeight="1">
      <c r="A14" s="174" t="s">
        <v>729</v>
      </c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</row>
    <row r="15" spans="1:23" ht="15">
      <c r="A15" s="36" t="s">
        <v>468</v>
      </c>
      <c r="B15" s="36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</row>
    <row r="16" spans="1:23" ht="15.75" customHeight="1">
      <c r="A16" s="178" t="s">
        <v>449</v>
      </c>
      <c r="B16" s="178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</row>
    <row r="17" spans="1:23" ht="55.5" customHeight="1">
      <c r="A17" s="373" t="s">
        <v>730</v>
      </c>
      <c r="B17" s="726">
        <v>121.9</v>
      </c>
      <c r="C17" s="726">
        <v>80.22</v>
      </c>
      <c r="D17" s="726">
        <f>'свод бюджет'!D30</f>
        <v>0</v>
      </c>
      <c r="E17" s="726">
        <v>41.68</v>
      </c>
      <c r="F17" s="726">
        <v>14.7</v>
      </c>
      <c r="G17" s="726">
        <v>3.7</v>
      </c>
      <c r="H17" s="726">
        <v>4.2</v>
      </c>
      <c r="I17" s="726">
        <v>4.8</v>
      </c>
      <c r="J17" s="727">
        <v>2</v>
      </c>
      <c r="K17" s="728">
        <f>'свод бюджет'!K31</f>
        <v>0</v>
      </c>
      <c r="L17" s="727"/>
      <c r="M17" s="727"/>
      <c r="N17" s="727"/>
      <c r="O17" s="727"/>
      <c r="P17" s="727"/>
      <c r="Q17" s="727"/>
      <c r="R17" s="728"/>
      <c r="S17" s="728">
        <v>3.5</v>
      </c>
      <c r="T17" s="728">
        <f>'свод бюджет'!W30</f>
        <v>0</v>
      </c>
      <c r="U17" s="728">
        <v>3.5</v>
      </c>
      <c r="V17" s="728">
        <f>'свод бюджет'!Z30</f>
        <v>285.25</v>
      </c>
      <c r="W17" s="728">
        <f>S17+R17+F17+B17</f>
        <v>140.1</v>
      </c>
    </row>
    <row r="18" spans="1:23" s="181" customFormat="1" ht="24" customHeight="1">
      <c r="A18" s="180" t="s">
        <v>161</v>
      </c>
      <c r="B18" s="729">
        <f>SUM(B17)</f>
        <v>121.9</v>
      </c>
      <c r="C18" s="729">
        <f aca="true" t="shared" si="0" ref="C18:W18">SUM(C17)</f>
        <v>80.22</v>
      </c>
      <c r="D18" s="729">
        <f t="shared" si="0"/>
        <v>0</v>
      </c>
      <c r="E18" s="729">
        <f t="shared" si="0"/>
        <v>41.68</v>
      </c>
      <c r="F18" s="729">
        <f t="shared" si="0"/>
        <v>14.7</v>
      </c>
      <c r="G18" s="729">
        <f t="shared" si="0"/>
        <v>3.7</v>
      </c>
      <c r="H18" s="729">
        <f t="shared" si="0"/>
        <v>4.2</v>
      </c>
      <c r="I18" s="729">
        <f t="shared" si="0"/>
        <v>4.8</v>
      </c>
      <c r="J18" s="729">
        <f t="shared" si="0"/>
        <v>2</v>
      </c>
      <c r="K18" s="729">
        <f t="shared" si="0"/>
        <v>0</v>
      </c>
      <c r="L18" s="729">
        <f t="shared" si="0"/>
        <v>0</v>
      </c>
      <c r="M18" s="729">
        <f t="shared" si="0"/>
        <v>0</v>
      </c>
      <c r="N18" s="729">
        <f t="shared" si="0"/>
        <v>0</v>
      </c>
      <c r="O18" s="729">
        <f t="shared" si="0"/>
        <v>0</v>
      </c>
      <c r="P18" s="729">
        <f t="shared" si="0"/>
        <v>0</v>
      </c>
      <c r="Q18" s="729">
        <f t="shared" si="0"/>
        <v>0</v>
      </c>
      <c r="R18" s="729">
        <f t="shared" si="0"/>
        <v>0</v>
      </c>
      <c r="S18" s="729">
        <f t="shared" si="0"/>
        <v>3.5</v>
      </c>
      <c r="T18" s="729">
        <f t="shared" si="0"/>
        <v>0</v>
      </c>
      <c r="U18" s="729">
        <f t="shared" si="0"/>
        <v>3.5</v>
      </c>
      <c r="V18" s="729">
        <f t="shared" si="0"/>
        <v>285.25</v>
      </c>
      <c r="W18" s="729">
        <f t="shared" si="0"/>
        <v>140.1</v>
      </c>
    </row>
    <row r="19" spans="1:23" ht="12.75">
      <c r="A19" s="2"/>
      <c r="B19" s="182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</row>
    <row r="20" spans="1:2" ht="12.75">
      <c r="A20" s="2"/>
      <c r="B20" s="2"/>
    </row>
    <row r="21" spans="1:5" ht="12.75">
      <c r="A21" s="2"/>
      <c r="B21" s="2"/>
      <c r="E21" t="s">
        <v>687</v>
      </c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</sheetData>
  <sheetProtection/>
  <mergeCells count="1">
    <mergeCell ref="A8:W8"/>
  </mergeCells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44"/>
  <sheetViews>
    <sheetView showZeros="0" view="pageBreakPreview" zoomScale="75" zoomScaleSheetLayoutView="75" zoomScalePageLayoutView="0" workbookViewId="0" topLeftCell="A1">
      <selection activeCell="O42" sqref="O42"/>
    </sheetView>
  </sheetViews>
  <sheetFormatPr defaultColWidth="9.00390625" defaultRowHeight="12.75"/>
  <cols>
    <col min="1" max="1" width="64.375" style="0" customWidth="1"/>
    <col min="2" max="2" width="12.75390625" style="0" customWidth="1"/>
    <col min="3" max="5" width="12.75390625" style="0" hidden="1" customWidth="1"/>
    <col min="6" max="15" width="12.75390625" style="0" customWidth="1"/>
  </cols>
  <sheetData>
    <row r="1" ht="6.75" customHeight="1"/>
    <row r="2" spans="12:16" ht="15.75" hidden="1">
      <c r="L2" s="80" t="s">
        <v>584</v>
      </c>
      <c r="M2" s="581"/>
      <c r="N2" s="80"/>
      <c r="O2" s="162"/>
      <c r="P2" s="162"/>
    </row>
    <row r="3" spans="1:16" ht="15.75" hidden="1">
      <c r="A3" s="163"/>
      <c r="B3" s="163"/>
      <c r="L3" s="80" t="s">
        <v>546</v>
      </c>
      <c r="M3" s="83"/>
      <c r="N3" s="80"/>
      <c r="O3" s="162"/>
      <c r="P3" s="162"/>
    </row>
    <row r="4" spans="1:16" ht="15.75" hidden="1">
      <c r="A4" s="163"/>
      <c r="B4" s="163"/>
      <c r="L4" s="80" t="s">
        <v>433</v>
      </c>
      <c r="M4" s="83"/>
      <c r="N4" s="80"/>
      <c r="O4" s="162"/>
      <c r="P4" s="162"/>
    </row>
    <row r="5" spans="1:16" ht="15.75" hidden="1">
      <c r="A5" s="184"/>
      <c r="B5" s="163"/>
      <c r="L5" s="582" t="str">
        <f>доходы!B3</f>
        <v>от 5.03.2012 №5</v>
      </c>
      <c r="M5" s="583"/>
      <c r="N5" s="582"/>
      <c r="O5" s="162"/>
      <c r="P5" s="162"/>
    </row>
    <row r="6" spans="1:14" ht="15.75" hidden="1">
      <c r="A6" s="184"/>
      <c r="B6" s="163"/>
      <c r="L6" s="83"/>
      <c r="M6" s="135"/>
      <c r="N6" s="136"/>
    </row>
    <row r="7" spans="1:14" ht="15" hidden="1">
      <c r="A7" s="163"/>
      <c r="B7" s="163"/>
      <c r="M7" s="136"/>
      <c r="N7" s="136"/>
    </row>
    <row r="8" spans="2:14" ht="15" hidden="1">
      <c r="B8" s="136" t="s">
        <v>583</v>
      </c>
      <c r="F8" s="185"/>
      <c r="M8" s="136"/>
      <c r="N8" s="136"/>
    </row>
    <row r="9" spans="2:6" ht="15" hidden="1">
      <c r="B9" s="186"/>
      <c r="D9" s="187" t="s">
        <v>335</v>
      </c>
      <c r="F9" s="185"/>
    </row>
    <row r="10" spans="2:14" ht="12.75" hidden="1">
      <c r="B10" s="186"/>
      <c r="N10" t="s">
        <v>127</v>
      </c>
    </row>
    <row r="11" spans="1:15" ht="15" hidden="1">
      <c r="A11" s="188"/>
      <c r="B11" s="189">
        <v>210</v>
      </c>
      <c r="C11" s="188">
        <v>211</v>
      </c>
      <c r="D11" s="188">
        <v>212</v>
      </c>
      <c r="E11" s="188">
        <v>213</v>
      </c>
      <c r="F11" s="189">
        <v>220</v>
      </c>
      <c r="G11" s="188">
        <v>222</v>
      </c>
      <c r="H11" s="188">
        <v>225</v>
      </c>
      <c r="I11" s="188">
        <v>226</v>
      </c>
      <c r="J11" s="188">
        <v>240</v>
      </c>
      <c r="K11" s="188">
        <v>242</v>
      </c>
      <c r="L11" s="189">
        <v>300</v>
      </c>
      <c r="M11" s="188">
        <v>310</v>
      </c>
      <c r="N11" s="188">
        <v>340</v>
      </c>
      <c r="O11" s="188"/>
    </row>
    <row r="12" spans="1:15" ht="87.75" customHeight="1" hidden="1">
      <c r="A12" s="190" t="s">
        <v>162</v>
      </c>
      <c r="B12" s="191" t="s">
        <v>128</v>
      </c>
      <c r="C12" s="192" t="s">
        <v>129</v>
      </c>
      <c r="D12" s="193" t="s">
        <v>163</v>
      </c>
      <c r="E12" s="193" t="s">
        <v>76</v>
      </c>
      <c r="F12" s="193" t="s">
        <v>131</v>
      </c>
      <c r="G12" s="193" t="s">
        <v>133</v>
      </c>
      <c r="H12" s="193" t="s">
        <v>136</v>
      </c>
      <c r="I12" s="193" t="s">
        <v>137</v>
      </c>
      <c r="J12" s="193" t="s">
        <v>1201</v>
      </c>
      <c r="K12" s="193" t="s">
        <v>1202</v>
      </c>
      <c r="L12" s="193" t="s">
        <v>141</v>
      </c>
      <c r="M12" s="193" t="s">
        <v>142</v>
      </c>
      <c r="N12" s="193" t="s">
        <v>143</v>
      </c>
      <c r="O12" s="193" t="s">
        <v>634</v>
      </c>
    </row>
    <row r="13" spans="1:15" ht="16.5" hidden="1">
      <c r="A13" s="194" t="s">
        <v>164</v>
      </c>
      <c r="B13" s="195"/>
      <c r="C13" s="196"/>
      <c r="D13" s="197"/>
      <c r="E13" s="197"/>
      <c r="F13" s="197"/>
      <c r="G13" s="197"/>
      <c r="H13" s="196"/>
      <c r="I13" s="196"/>
      <c r="J13" s="196"/>
      <c r="K13" s="196"/>
      <c r="L13" s="196"/>
      <c r="M13" s="196"/>
      <c r="N13" s="196"/>
      <c r="O13" s="196"/>
    </row>
    <row r="14" spans="1:15" ht="31.5" customHeight="1" hidden="1">
      <c r="A14" s="198" t="s">
        <v>166</v>
      </c>
      <c r="B14" s="199"/>
      <c r="C14" s="200"/>
      <c r="D14" s="201"/>
      <c r="E14" s="201"/>
      <c r="F14" s="201"/>
      <c r="G14" s="201"/>
      <c r="H14" s="200"/>
      <c r="I14" s="200"/>
      <c r="J14" s="200"/>
      <c r="K14" s="200"/>
      <c r="L14" s="202">
        <f>SUM(L15:L15)</f>
        <v>0</v>
      </c>
      <c r="M14" s="202">
        <f>SUM(M15:M15)</f>
        <v>0</v>
      </c>
      <c r="N14" s="200"/>
      <c r="O14" s="202">
        <f>SUM(O15:O15)</f>
        <v>0</v>
      </c>
    </row>
    <row r="15" spans="1:15" ht="15" hidden="1">
      <c r="A15" s="203" t="s">
        <v>167</v>
      </c>
      <c r="B15" s="204">
        <f>SUM(C15:E15)</f>
        <v>0</v>
      </c>
      <c r="C15" s="205"/>
      <c r="D15" s="205"/>
      <c r="E15" s="205"/>
      <c r="F15" s="205">
        <f>SUM(G15:I15)</f>
        <v>0</v>
      </c>
      <c r="G15" s="205"/>
      <c r="H15" s="206"/>
      <c r="I15" s="206"/>
      <c r="J15" s="206"/>
      <c r="K15" s="206"/>
      <c r="L15" s="206"/>
      <c r="M15" s="206"/>
      <c r="N15" s="206"/>
      <c r="O15" s="207">
        <f>SUM(L15+F15+B15)</f>
        <v>0</v>
      </c>
    </row>
    <row r="16" spans="1:15" ht="33.75" customHeight="1" hidden="1">
      <c r="A16" s="208" t="s">
        <v>168</v>
      </c>
      <c r="B16" s="209">
        <f>SUM(B17:B17)</f>
        <v>0</v>
      </c>
      <c r="C16" s="209"/>
      <c r="D16" s="209">
        <f>SUM(D17:D17)</f>
        <v>0</v>
      </c>
      <c r="E16" s="209"/>
      <c r="F16" s="205"/>
      <c r="G16" s="209"/>
      <c r="H16" s="210"/>
      <c r="I16" s="210"/>
      <c r="J16" s="210"/>
      <c r="K16" s="210"/>
      <c r="L16" s="210"/>
      <c r="M16" s="210"/>
      <c r="N16" s="210"/>
      <c r="O16" s="209">
        <f>SUM(O17:O17)</f>
        <v>0</v>
      </c>
    </row>
    <row r="17" spans="1:15" ht="15" hidden="1">
      <c r="A17" s="203" t="s">
        <v>167</v>
      </c>
      <c r="B17" s="204">
        <f>SUM(C17:E17)</f>
        <v>0</v>
      </c>
      <c r="C17" s="205"/>
      <c r="D17" s="205"/>
      <c r="E17" s="205"/>
      <c r="F17" s="205">
        <f>SUM(G17:I17)</f>
        <v>0</v>
      </c>
      <c r="G17" s="205"/>
      <c r="H17" s="206"/>
      <c r="I17" s="206"/>
      <c r="J17" s="206"/>
      <c r="K17" s="206"/>
      <c r="L17" s="206">
        <f>SUM(M17,N17)</f>
        <v>0</v>
      </c>
      <c r="M17" s="206"/>
      <c r="N17" s="206"/>
      <c r="O17" s="207">
        <f>SUM(L17+F17+B17)</f>
        <v>0</v>
      </c>
    </row>
    <row r="18" spans="1:15" ht="61.5" customHeight="1" hidden="1">
      <c r="A18" s="208" t="s">
        <v>169</v>
      </c>
      <c r="B18" s="205">
        <f>SUM(B19:B19)</f>
        <v>0</v>
      </c>
      <c r="C18" s="205"/>
      <c r="D18" s="205"/>
      <c r="E18" s="205"/>
      <c r="F18" s="205"/>
      <c r="G18" s="205"/>
      <c r="H18" s="206"/>
      <c r="I18" s="206"/>
      <c r="J18" s="206"/>
      <c r="K18" s="206"/>
      <c r="L18" s="206"/>
      <c r="M18" s="206"/>
      <c r="N18" s="206"/>
      <c r="O18" s="205">
        <f>SUM(O19:O19)</f>
        <v>0</v>
      </c>
    </row>
    <row r="19" spans="1:15" ht="15" hidden="1">
      <c r="A19" s="203" t="s">
        <v>167</v>
      </c>
      <c r="B19" s="204">
        <f>SUM(C19:E19)</f>
        <v>0</v>
      </c>
      <c r="C19" s="205"/>
      <c r="D19" s="205"/>
      <c r="E19" s="205"/>
      <c r="F19" s="205">
        <f>SUM(G19:I19)</f>
        <v>0</v>
      </c>
      <c r="G19" s="205"/>
      <c r="H19" s="206"/>
      <c r="I19" s="206"/>
      <c r="J19" s="206"/>
      <c r="K19" s="206"/>
      <c r="L19" s="206">
        <f>SUM(M19,N19)</f>
        <v>0</v>
      </c>
      <c r="M19" s="206"/>
      <c r="N19" s="206"/>
      <c r="O19" s="207">
        <f>SUM(L19+F19+B19)</f>
        <v>0</v>
      </c>
    </row>
    <row r="20" spans="1:15" ht="30" customHeight="1" hidden="1">
      <c r="A20" s="208" t="s">
        <v>170</v>
      </c>
      <c r="B20" s="209">
        <f>SUM(B21:B21)</f>
        <v>0</v>
      </c>
      <c r="C20" s="209"/>
      <c r="D20" s="209"/>
      <c r="E20" s="209"/>
      <c r="F20" s="211"/>
      <c r="G20" s="209"/>
      <c r="H20" s="210"/>
      <c r="I20" s="210"/>
      <c r="J20" s="210"/>
      <c r="K20" s="210"/>
      <c r="L20" s="210"/>
      <c r="M20" s="210"/>
      <c r="N20" s="210"/>
      <c r="O20" s="209">
        <f>SUM(O21:O21)</f>
        <v>0</v>
      </c>
    </row>
    <row r="21" spans="1:15" ht="15" hidden="1">
      <c r="A21" s="203" t="s">
        <v>167</v>
      </c>
      <c r="B21" s="204">
        <f>SUM(C21:E21)</f>
        <v>0</v>
      </c>
      <c r="C21" s="205"/>
      <c r="D21" s="205"/>
      <c r="E21" s="205"/>
      <c r="F21" s="205">
        <f>SUM(G21:I21)</f>
        <v>0</v>
      </c>
      <c r="G21" s="205"/>
      <c r="H21" s="206"/>
      <c r="I21" s="206"/>
      <c r="J21" s="206"/>
      <c r="K21" s="206"/>
      <c r="L21" s="206">
        <f>SUM(M21,N21)</f>
        <v>0</v>
      </c>
      <c r="M21" s="206"/>
      <c r="N21" s="206"/>
      <c r="O21" s="207">
        <f>SUM(L21+F21+B21)</f>
        <v>0</v>
      </c>
    </row>
    <row r="22" spans="1:15" ht="62.25" customHeight="1" hidden="1">
      <c r="A22" s="212" t="s">
        <v>174</v>
      </c>
      <c r="B22" s="205">
        <f>SUM(B23:B23)</f>
        <v>0</v>
      </c>
      <c r="C22" s="205"/>
      <c r="D22" s="205"/>
      <c r="E22" s="205"/>
      <c r="F22" s="205">
        <f>SUM(F23:F23)</f>
        <v>0</v>
      </c>
      <c r="G22" s="205"/>
      <c r="H22" s="205">
        <f>SUM(H23:H23)</f>
        <v>0</v>
      </c>
      <c r="I22" s="206"/>
      <c r="J22" s="206"/>
      <c r="K22" s="206"/>
      <c r="L22" s="205">
        <f>SUM(L23:L23)</f>
        <v>0</v>
      </c>
      <c r="M22" s="205">
        <f>SUM(M23:M23)</f>
        <v>0</v>
      </c>
      <c r="N22" s="205"/>
      <c r="O22" s="205">
        <f>SUM(O23:O23)</f>
        <v>0</v>
      </c>
    </row>
    <row r="23" spans="1:15" ht="15" hidden="1">
      <c r="A23" s="203" t="s">
        <v>167</v>
      </c>
      <c r="B23" s="204">
        <f>SUM(C23:E23)</f>
        <v>0</v>
      </c>
      <c r="C23" s="205"/>
      <c r="D23" s="205"/>
      <c r="E23" s="205"/>
      <c r="F23" s="205">
        <f>SUM(G23:I23)</f>
        <v>0</v>
      </c>
      <c r="G23" s="205"/>
      <c r="H23" s="206"/>
      <c r="I23" s="206"/>
      <c r="J23" s="206"/>
      <c r="K23" s="206"/>
      <c r="L23" s="206">
        <f>SUM(M23,N23)</f>
        <v>0</v>
      </c>
      <c r="M23" s="206"/>
      <c r="N23" s="206"/>
      <c r="O23" s="207">
        <f>SUM(L23+F23+B23)</f>
        <v>0</v>
      </c>
    </row>
    <row r="24" spans="1:15" ht="57" customHeight="1" hidden="1">
      <c r="A24" s="208" t="s">
        <v>175</v>
      </c>
      <c r="B24" s="210">
        <f>SUM(B25:B25)</f>
        <v>0</v>
      </c>
      <c r="C24" s="210"/>
      <c r="D24" s="210">
        <f>SUM(D25:D25)</f>
        <v>0</v>
      </c>
      <c r="E24" s="210"/>
      <c r="F24" s="210">
        <f>SUM(F25:F25)</f>
        <v>0</v>
      </c>
      <c r="G24" s="210"/>
      <c r="H24" s="210"/>
      <c r="I24" s="210">
        <f>SUM(I25:I25)</f>
        <v>0</v>
      </c>
      <c r="J24" s="210"/>
      <c r="K24" s="210"/>
      <c r="L24" s="213"/>
      <c r="M24" s="210"/>
      <c r="N24" s="210"/>
      <c r="O24" s="210">
        <f>SUM(O25:O25)</f>
        <v>0</v>
      </c>
    </row>
    <row r="25" spans="1:15" ht="15" hidden="1">
      <c r="A25" s="203" t="s">
        <v>167</v>
      </c>
      <c r="B25" s="204">
        <f>SUM(C25:E25)</f>
        <v>0</v>
      </c>
      <c r="C25" s="205"/>
      <c r="D25" s="205"/>
      <c r="E25" s="205"/>
      <c r="F25" s="205">
        <f>SUM(G25:I25)</f>
        <v>0</v>
      </c>
      <c r="G25" s="205"/>
      <c r="H25" s="206"/>
      <c r="I25" s="206"/>
      <c r="J25" s="206"/>
      <c r="K25" s="206"/>
      <c r="L25" s="206"/>
      <c r="M25" s="206"/>
      <c r="N25" s="206"/>
      <c r="O25" s="207">
        <f>SUM(L25+F25+B25)</f>
        <v>0</v>
      </c>
    </row>
    <row r="26" spans="1:15" ht="16.5" hidden="1">
      <c r="A26" s="214" t="s">
        <v>176</v>
      </c>
      <c r="B26" s="215">
        <f aca="true" t="shared" si="0" ref="B26:O26">SUM(B14+B16+B18+B20+B22+B24)</f>
        <v>0</v>
      </c>
      <c r="C26" s="215">
        <f t="shared" si="0"/>
        <v>0</v>
      </c>
      <c r="D26" s="215">
        <f t="shared" si="0"/>
        <v>0</v>
      </c>
      <c r="E26" s="215">
        <f t="shared" si="0"/>
        <v>0</v>
      </c>
      <c r="F26" s="215">
        <f t="shared" si="0"/>
        <v>0</v>
      </c>
      <c r="G26" s="215">
        <f t="shared" si="0"/>
        <v>0</v>
      </c>
      <c r="H26" s="215">
        <f t="shared" si="0"/>
        <v>0</v>
      </c>
      <c r="I26" s="215">
        <f t="shared" si="0"/>
        <v>0</v>
      </c>
      <c r="J26" s="215"/>
      <c r="K26" s="215"/>
      <c r="L26" s="215">
        <f t="shared" si="0"/>
        <v>0</v>
      </c>
      <c r="M26" s="215">
        <f t="shared" si="0"/>
        <v>0</v>
      </c>
      <c r="N26" s="215">
        <f t="shared" si="0"/>
        <v>0</v>
      </c>
      <c r="O26" s="215">
        <f t="shared" si="0"/>
        <v>0</v>
      </c>
    </row>
    <row r="27" spans="1:15" ht="44.25" customHeight="1" hidden="1">
      <c r="A27" s="208" t="s">
        <v>189</v>
      </c>
      <c r="B27" s="204">
        <f>SUM(C27:E27)</f>
        <v>0</v>
      </c>
      <c r="C27" s="209"/>
      <c r="D27" s="209"/>
      <c r="E27" s="209"/>
      <c r="F27" s="205">
        <f>SUM(G27:I27)</f>
        <v>0</v>
      </c>
      <c r="G27" s="209"/>
      <c r="H27" s="210"/>
      <c r="I27" s="210"/>
      <c r="J27" s="210"/>
      <c r="K27" s="210"/>
      <c r="L27" s="210">
        <f>SUM(M27,N27)</f>
        <v>0</v>
      </c>
      <c r="M27" s="210"/>
      <c r="N27" s="210"/>
      <c r="O27" s="207">
        <f>SUM(L27+F27+B27)</f>
        <v>0</v>
      </c>
    </row>
    <row r="28" spans="1:15" ht="46.5" customHeight="1" hidden="1">
      <c r="A28" s="216" t="s">
        <v>190</v>
      </c>
      <c r="B28" s="217"/>
      <c r="C28" s="205"/>
      <c r="D28" s="205"/>
      <c r="E28" s="205"/>
      <c r="F28" s="205">
        <f>SUM(G28:I28)</f>
        <v>0</v>
      </c>
      <c r="G28" s="205"/>
      <c r="H28" s="206">
        <f>SUM(H29)</f>
        <v>0</v>
      </c>
      <c r="I28" s="206"/>
      <c r="J28" s="206"/>
      <c r="K28" s="206"/>
      <c r="L28" s="206"/>
      <c r="M28" s="206"/>
      <c r="N28" s="206"/>
      <c r="O28" s="207">
        <f>SUM(L28+F28+B28)</f>
        <v>0</v>
      </c>
    </row>
    <row r="29" spans="1:15" ht="23.25" customHeight="1" hidden="1">
      <c r="A29" s="218" t="s">
        <v>191</v>
      </c>
      <c r="B29" s="217"/>
      <c r="C29" s="206"/>
      <c r="D29" s="206"/>
      <c r="E29" s="206"/>
      <c r="F29" s="205">
        <f>SUM(G29:I29)</f>
        <v>0</v>
      </c>
      <c r="G29" s="206"/>
      <c r="H29" s="206"/>
      <c r="I29" s="206"/>
      <c r="J29" s="206"/>
      <c r="K29" s="206"/>
      <c r="L29" s="206"/>
      <c r="M29" s="206"/>
      <c r="N29" s="206"/>
      <c r="O29" s="207">
        <f>SUM(L29+F29+B29)</f>
        <v>0</v>
      </c>
    </row>
    <row r="30" spans="1:15" ht="16.5" hidden="1">
      <c r="A30" s="219" t="s">
        <v>192</v>
      </c>
      <c r="B30" s="220">
        <f aca="true" t="shared" si="1" ref="B30:I30">SUM(B27:B28)</f>
        <v>0</v>
      </c>
      <c r="C30" s="220">
        <f t="shared" si="1"/>
        <v>0</v>
      </c>
      <c r="D30" s="220">
        <f t="shared" si="1"/>
        <v>0</v>
      </c>
      <c r="E30" s="220">
        <f t="shared" si="1"/>
        <v>0</v>
      </c>
      <c r="F30" s="220">
        <f t="shared" si="1"/>
        <v>0</v>
      </c>
      <c r="G30" s="220">
        <f t="shared" si="1"/>
        <v>0</v>
      </c>
      <c r="H30" s="220">
        <f t="shared" si="1"/>
        <v>0</v>
      </c>
      <c r="I30" s="220">
        <f t="shared" si="1"/>
        <v>0</v>
      </c>
      <c r="J30" s="220"/>
      <c r="K30" s="220"/>
      <c r="L30" s="220">
        <f>SUM(L27:L28)</f>
        <v>0</v>
      </c>
      <c r="M30" s="220">
        <f>SUM(M27:M28)</f>
        <v>0</v>
      </c>
      <c r="N30" s="220">
        <f>SUM(N27:N28)</f>
        <v>0</v>
      </c>
      <c r="O30" s="220">
        <f>SUM(O27:O28)</f>
        <v>0</v>
      </c>
    </row>
    <row r="31" spans="1:15" ht="28.5" hidden="1">
      <c r="A31" s="372" t="s">
        <v>724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</row>
    <row r="32" spans="1:15" ht="16.5" hidden="1">
      <c r="A32" s="366" t="s">
        <v>1199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</row>
    <row r="33" spans="1:15" ht="31.5" hidden="1">
      <c r="A33" s="590" t="s">
        <v>1200</v>
      </c>
      <c r="B33" s="220"/>
      <c r="C33" s="220"/>
      <c r="D33" s="220"/>
      <c r="E33" s="220"/>
      <c r="F33" s="628"/>
      <c r="G33" s="628"/>
      <c r="H33" s="628"/>
      <c r="I33" s="628"/>
      <c r="J33" s="1095">
        <f>K33</f>
        <v>99.00056</v>
      </c>
      <c r="K33" s="1094">
        <f>'свод бюджет'!P33</f>
        <v>99.00056</v>
      </c>
      <c r="L33" s="682">
        <f>SUM(M33:N33)</f>
        <v>0</v>
      </c>
      <c r="M33" s="683"/>
      <c r="N33" s="684">
        <f>SUM('свод бюджет'!Y33)</f>
        <v>0</v>
      </c>
      <c r="O33" s="1098">
        <f>J33</f>
        <v>99.00056</v>
      </c>
    </row>
    <row r="34" spans="1:15" ht="16.5" hidden="1">
      <c r="A34" s="365" t="s">
        <v>1193</v>
      </c>
      <c r="B34" s="370"/>
      <c r="C34" s="370"/>
      <c r="D34" s="370"/>
      <c r="E34" s="370"/>
      <c r="F34" s="629"/>
      <c r="G34" s="629"/>
      <c r="H34" s="629"/>
      <c r="I34" s="629"/>
      <c r="J34" s="1096">
        <f>J33</f>
        <v>99.00056</v>
      </c>
      <c r="K34" s="1096">
        <f>K33</f>
        <v>99.00056</v>
      </c>
      <c r="L34" s="685">
        <f>N34</f>
        <v>0</v>
      </c>
      <c r="M34" s="686"/>
      <c r="N34" s="687">
        <f>N33</f>
        <v>0</v>
      </c>
      <c r="O34" s="1099">
        <f>O33</f>
        <v>99.00056</v>
      </c>
    </row>
    <row r="35" spans="1:15" ht="20.25" customHeight="1" hidden="1">
      <c r="A35" s="221" t="s">
        <v>791</v>
      </c>
      <c r="B35" s="217"/>
      <c r="C35" s="205"/>
      <c r="D35" s="205"/>
      <c r="E35" s="205"/>
      <c r="F35" s="630"/>
      <c r="G35" s="630"/>
      <c r="H35" s="631"/>
      <c r="I35" s="631"/>
      <c r="J35" s="631"/>
      <c r="K35" s="631"/>
      <c r="L35" s="631"/>
      <c r="M35" s="631"/>
      <c r="N35" s="631"/>
      <c r="O35" s="631">
        <f>SUM(L35+F35+B35)</f>
        <v>0</v>
      </c>
    </row>
    <row r="36" spans="1:15" ht="46.5" customHeight="1" hidden="1">
      <c r="A36" s="369" t="s">
        <v>1177</v>
      </c>
      <c r="B36" s="204">
        <f>SUM(C36:E36)</f>
        <v>0</v>
      </c>
      <c r="C36" s="211"/>
      <c r="D36" s="211"/>
      <c r="E36" s="211"/>
      <c r="F36" s="676">
        <f>SUM(G36:I36)</f>
        <v>40</v>
      </c>
      <c r="G36" s="676"/>
      <c r="H36" s="677">
        <f>'свод бюджет'!K37</f>
        <v>0</v>
      </c>
      <c r="I36" s="677">
        <f>'свод бюджет'!L36</f>
        <v>40</v>
      </c>
      <c r="J36" s="677"/>
      <c r="K36" s="677"/>
      <c r="L36" s="665">
        <f>SUM(M36,N36)</f>
        <v>100</v>
      </c>
      <c r="M36" s="677"/>
      <c r="N36" s="677">
        <f>'свод бюджет'!Y36</f>
        <v>100</v>
      </c>
      <c r="O36" s="678">
        <f>SUM(L36+F36+B36)</f>
        <v>140</v>
      </c>
    </row>
    <row r="37" spans="1:15" ht="15.75" hidden="1">
      <c r="A37" s="823" t="s">
        <v>792</v>
      </c>
      <c r="B37" s="371"/>
      <c r="C37" s="371"/>
      <c r="D37" s="371"/>
      <c r="E37" s="371"/>
      <c r="F37" s="679">
        <f>F36</f>
        <v>40</v>
      </c>
      <c r="G37" s="679"/>
      <c r="H37" s="679">
        <f aca="true" t="shared" si="2" ref="H37:O37">H36</f>
        <v>0</v>
      </c>
      <c r="I37" s="679">
        <f t="shared" si="2"/>
        <v>40</v>
      </c>
      <c r="J37" s="679"/>
      <c r="K37" s="679"/>
      <c r="L37" s="679">
        <f t="shared" si="2"/>
        <v>100</v>
      </c>
      <c r="M37" s="679">
        <f t="shared" si="2"/>
        <v>0</v>
      </c>
      <c r="N37" s="679">
        <f t="shared" si="2"/>
        <v>100</v>
      </c>
      <c r="O37" s="679">
        <f t="shared" si="2"/>
        <v>140</v>
      </c>
    </row>
    <row r="38" spans="1:15" ht="59.25" customHeight="1" hidden="1">
      <c r="A38" s="278"/>
      <c r="B38" s="222"/>
      <c r="C38" s="211"/>
      <c r="D38" s="211"/>
      <c r="E38" s="211"/>
      <c r="F38" s="676">
        <f>SUM(F39:F39)</f>
        <v>0</v>
      </c>
      <c r="G38" s="676"/>
      <c r="H38" s="677"/>
      <c r="I38" s="676">
        <f>SUM(I39:I39)</f>
        <v>0</v>
      </c>
      <c r="J38" s="676"/>
      <c r="K38" s="676"/>
      <c r="L38" s="676">
        <f>SUM(L39:L39)</f>
        <v>0</v>
      </c>
      <c r="M38" s="676">
        <f>SUM(M39:M39)</f>
        <v>0</v>
      </c>
      <c r="N38" s="676">
        <f>SUM(N39:N39)</f>
        <v>0</v>
      </c>
      <c r="O38" s="676">
        <f>SUM(O39:O39)</f>
        <v>0</v>
      </c>
    </row>
    <row r="39" spans="1:15" ht="15.75" hidden="1">
      <c r="A39" s="368" t="s">
        <v>721</v>
      </c>
      <c r="B39" s="204">
        <f>SUM(C39:E39)</f>
        <v>0</v>
      </c>
      <c r="C39" s="211"/>
      <c r="D39" s="211"/>
      <c r="E39" s="211"/>
      <c r="F39" s="676">
        <f>SUM(G39:I39)</f>
        <v>0</v>
      </c>
      <c r="G39" s="676"/>
      <c r="H39" s="677"/>
      <c r="I39" s="677"/>
      <c r="J39" s="677"/>
      <c r="K39" s="677"/>
      <c r="L39" s="665">
        <f>SUM(M39,N39)</f>
        <v>0</v>
      </c>
      <c r="M39" s="677"/>
      <c r="N39" s="677"/>
      <c r="O39" s="678">
        <f>SUM(L39+F39+B39)</f>
        <v>0</v>
      </c>
    </row>
    <row r="40" spans="1:15" ht="15.75" hidden="1">
      <c r="A40" s="223" t="s">
        <v>193</v>
      </c>
      <c r="B40" s="224" t="e">
        <f>SUM(#REF!+B38)</f>
        <v>#REF!</v>
      </c>
      <c r="C40" s="224" t="e">
        <f>SUM(#REF!+C38)</f>
        <v>#REF!</v>
      </c>
      <c r="D40" s="224" t="e">
        <f>SUM(#REF!+D38)</f>
        <v>#REF!</v>
      </c>
      <c r="E40" s="224" t="e">
        <f>SUM(#REF!+E38)</f>
        <v>#REF!</v>
      </c>
      <c r="F40" s="680" t="e">
        <f>SUM(#REF!+F38)</f>
        <v>#REF!</v>
      </c>
      <c r="G40" s="680" t="e">
        <f>SUM(#REF!+G38)</f>
        <v>#REF!</v>
      </c>
      <c r="H40" s="680" t="e">
        <f>SUM(#REF!+H38)</f>
        <v>#REF!</v>
      </c>
      <c r="I40" s="680" t="e">
        <f>SUM(#REF!+I38)</f>
        <v>#REF!</v>
      </c>
      <c r="J40" s="680"/>
      <c r="K40" s="680"/>
      <c r="L40" s="680" t="e">
        <f>SUM(#REF!+L38)</f>
        <v>#REF!</v>
      </c>
      <c r="M40" s="680" t="e">
        <f>SUM(#REF!+M38)</f>
        <v>#REF!</v>
      </c>
      <c r="N40" s="680" t="e">
        <f>SUM(#REF!+N38)</f>
        <v>#REF!</v>
      </c>
      <c r="O40" s="680" t="e">
        <f>SUM(#REF!+O38)</f>
        <v>#REF!</v>
      </c>
    </row>
    <row r="41" spans="1:15" ht="15" hidden="1">
      <c r="A41" s="225"/>
      <c r="B41" s="226"/>
      <c r="C41" s="226"/>
      <c r="D41" s="226"/>
      <c r="E41" s="226"/>
      <c r="F41" s="681"/>
      <c r="G41" s="681"/>
      <c r="H41" s="681"/>
      <c r="I41" s="681"/>
      <c r="J41" s="681"/>
      <c r="K41" s="681"/>
      <c r="L41" s="681"/>
      <c r="M41" s="681"/>
      <c r="N41" s="681"/>
      <c r="O41" s="681"/>
    </row>
    <row r="42" spans="1:15" ht="15.75" hidden="1">
      <c r="A42" s="227" t="s">
        <v>194</v>
      </c>
      <c r="B42" s="228"/>
      <c r="C42" s="228"/>
      <c r="D42" s="228"/>
      <c r="E42" s="228"/>
      <c r="F42" s="666">
        <f>SUM(F36)</f>
        <v>40</v>
      </c>
      <c r="G42" s="666">
        <f>SUM(G36)</f>
        <v>0</v>
      </c>
      <c r="H42" s="666">
        <f>SUM(H36)</f>
        <v>0</v>
      </c>
      <c r="I42" s="666">
        <f>SUM(I36)</f>
        <v>40</v>
      </c>
      <c r="J42" s="1097">
        <f>J34</f>
        <v>99.00056</v>
      </c>
      <c r="K42" s="1097">
        <f>K34</f>
        <v>99.00056</v>
      </c>
      <c r="L42" s="666">
        <f>SUM(L36+L33)</f>
        <v>100</v>
      </c>
      <c r="M42" s="666">
        <f>SUM(M36+M33)</f>
        <v>0</v>
      </c>
      <c r="N42" s="666">
        <f>SUM(N36+N33)</f>
        <v>100</v>
      </c>
      <c r="O42" s="1097">
        <f>SUM(O36+O33)</f>
        <v>239.00056</v>
      </c>
    </row>
    <row r="43" ht="12.75" hidden="1"/>
    <row r="44" ht="12.75" hidden="1">
      <c r="B44" t="s">
        <v>687</v>
      </c>
    </row>
  </sheetData>
  <sheetProtection/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отдел 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1</cp:lastModifiedBy>
  <cp:lastPrinted>2012-03-05T12:10:19Z</cp:lastPrinted>
  <dcterms:created xsi:type="dcterms:W3CDTF">2005-10-19T13:30:48Z</dcterms:created>
  <dcterms:modified xsi:type="dcterms:W3CDTF">2012-04-01T06:16:26Z</dcterms:modified>
  <cp:category/>
  <cp:version/>
  <cp:contentType/>
  <cp:contentStatus/>
</cp:coreProperties>
</file>